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C:\Users\rcbor\Dropbox\Projects\Orlando\"/>
    </mc:Choice>
  </mc:AlternateContent>
  <xr:revisionPtr revIDLastSave="0" documentId="8_{AAD7CD98-2B6A-403A-8CC1-48255D04C198}" xr6:coauthVersionLast="34" xr6:coauthVersionMax="34" xr10:uidLastSave="{00000000-0000-0000-0000-000000000000}"/>
  <bookViews>
    <workbookView xWindow="-45" yWindow="-60" windowWidth="11805" windowHeight="11025" xr2:uid="{00000000-000D-0000-FFFF-FFFF00000000}"/>
  </bookViews>
  <sheets>
    <sheet name="Info" sheetId="3" r:id="rId1"/>
    <sheet name="Alkali Properties" sheetId="6" r:id="rId2"/>
    <sheet name="Net H+ Production" sheetId="8" r:id="rId3"/>
    <sheet name="Aquifer Buffering Capacity" sheetId="9" r:id="rId4"/>
  </sheets>
  <calcPr calcId="179021"/>
</workbook>
</file>

<file path=xl/calcChain.xml><?xml version="1.0" encoding="utf-8"?>
<calcChain xmlns="http://schemas.openxmlformats.org/spreadsheetml/2006/main">
  <c r="B20" i="3" l="1"/>
  <c r="H17" i="3" l="1"/>
  <c r="H20" i="3" l="1"/>
  <c r="H7" i="6" s="1"/>
  <c r="H21" i="3"/>
  <c r="H8" i="6" s="1"/>
  <c r="H22" i="3"/>
  <c r="H9" i="6" s="1"/>
  <c r="H23" i="3"/>
  <c r="H10" i="6" s="1"/>
  <c r="H24" i="3"/>
  <c r="H11" i="6" s="1"/>
  <c r="H25" i="3"/>
  <c r="H12" i="6" s="1"/>
  <c r="I5" i="8"/>
  <c r="I6" i="8"/>
  <c r="I7" i="8"/>
  <c r="I8" i="8"/>
  <c r="I9" i="8"/>
  <c r="I10" i="8"/>
  <c r="I11" i="8"/>
  <c r="I12" i="8"/>
  <c r="I13" i="8"/>
  <c r="I14" i="8"/>
  <c r="I15" i="8"/>
  <c r="I16" i="8"/>
  <c r="I4" i="8"/>
  <c r="E29" i="3"/>
  <c r="E28" i="3"/>
  <c r="B32" i="3" l="1"/>
  <c r="B31" i="3"/>
  <c r="B23" i="3"/>
  <c r="B34" i="3" l="1"/>
  <c r="B1" i="8"/>
  <c r="B3" i="6"/>
  <c r="G29" i="3"/>
  <c r="G5" i="3"/>
  <c r="G6" i="3"/>
  <c r="G7" i="3"/>
  <c r="G8" i="3"/>
  <c r="G9" i="3"/>
  <c r="G10" i="3"/>
  <c r="G12" i="3"/>
  <c r="H18" i="3"/>
  <c r="J10" i="8" s="1"/>
  <c r="H16" i="3"/>
  <c r="J8" i="8" s="1"/>
  <c r="H19" i="3"/>
  <c r="J11" i="8" s="1"/>
  <c r="J9" i="8"/>
  <c r="L9" i="8" l="1"/>
  <c r="L11" i="8"/>
  <c r="L8" i="8"/>
  <c r="L10" i="8"/>
  <c r="G6" i="8"/>
  <c r="G7" i="8"/>
  <c r="G13" i="8"/>
  <c r="G4" i="8"/>
  <c r="G14" i="8"/>
  <c r="G15" i="8"/>
  <c r="G5" i="8"/>
  <c r="G12" i="8"/>
  <c r="G8" i="6"/>
  <c r="I8" i="6" s="1"/>
  <c r="G11" i="6"/>
  <c r="I11" i="6" s="1"/>
  <c r="G12" i="6"/>
  <c r="I12" i="6" s="1"/>
  <c r="G7" i="6"/>
  <c r="I7" i="6" s="1"/>
  <c r="B4" i="6"/>
  <c r="F9" i="6" s="1"/>
  <c r="B2" i="8"/>
  <c r="F16" i="8" s="1"/>
  <c r="G16" i="8" s="1"/>
  <c r="L19" i="8" l="1"/>
  <c r="F10" i="6"/>
  <c r="G9" i="6"/>
  <c r="F8" i="8"/>
  <c r="G8" i="8" s="1"/>
  <c r="K8" i="8" s="1"/>
  <c r="F9" i="8"/>
  <c r="G9" i="8" s="1"/>
  <c r="K9" i="8" s="1"/>
  <c r="F11" i="8"/>
  <c r="G11" i="8" s="1"/>
  <c r="K11" i="8" s="1"/>
  <c r="F10" i="8"/>
  <c r="G10" i="8" s="1"/>
  <c r="K10" i="8" s="1"/>
  <c r="I9" i="6" l="1"/>
  <c r="G10" i="6"/>
  <c r="D9" i="3"/>
  <c r="D10" i="3"/>
  <c r="B22" i="3"/>
  <c r="B24" i="3" s="1"/>
  <c r="I10" i="6" l="1"/>
  <c r="I14" i="6" s="1"/>
  <c r="I34" i="3" s="1"/>
  <c r="K19" i="8"/>
  <c r="I31" i="3" s="1"/>
  <c r="I28" i="3"/>
  <c r="D22" i="3"/>
  <c r="B25" i="3"/>
  <c r="J9" i="3" l="1"/>
  <c r="J12" i="8" s="1"/>
  <c r="J12" i="3"/>
  <c r="J15" i="8" s="1"/>
  <c r="J10" i="3"/>
  <c r="J13" i="8" s="1"/>
  <c r="D24" i="3"/>
  <c r="D23" i="3"/>
  <c r="K13" i="8" l="1"/>
  <c r="L13" i="8"/>
  <c r="K15" i="8"/>
  <c r="L15" i="8"/>
  <c r="K12" i="8"/>
  <c r="L12" i="8"/>
  <c r="D18" i="3"/>
  <c r="D19" i="3"/>
  <c r="D17" i="3"/>
  <c r="B13" i="3"/>
  <c r="D13" i="3" l="1"/>
  <c r="B21" i="3"/>
  <c r="J6" i="3" s="1"/>
  <c r="D20" i="3"/>
  <c r="J5" i="8" l="1"/>
  <c r="J8" i="3"/>
  <c r="J7" i="8" s="1"/>
  <c r="J11" i="3"/>
  <c r="J7" i="3"/>
  <c r="J6" i="8" s="1"/>
  <c r="J5" i="3"/>
  <c r="J4" i="8" s="1"/>
  <c r="B36" i="3"/>
  <c r="I29" i="3" s="1"/>
  <c r="D21" i="3"/>
  <c r="K4" i="8" l="1"/>
  <c r="L4" i="8"/>
  <c r="K6" i="8"/>
  <c r="L6" i="8"/>
  <c r="K7" i="8"/>
  <c r="L7" i="8"/>
  <c r="K5" i="8"/>
  <c r="L5" i="8"/>
  <c r="J14" i="8"/>
  <c r="K18" i="8" l="1"/>
  <c r="I30" i="3" s="1"/>
  <c r="L18" i="8"/>
  <c r="K14" i="8"/>
  <c r="L14" i="8"/>
  <c r="L16" i="8" s="1"/>
  <c r="J16" i="8" l="1"/>
  <c r="K16" i="8" s="1"/>
  <c r="K20" i="8" s="1"/>
  <c r="L20" i="8"/>
  <c r="I32" i="3" l="1"/>
  <c r="I33" i="3" s="1"/>
  <c r="I35"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Robert Borden</author>
  </authors>
  <commentList>
    <comment ref="A17" authorId="0" shapeId="0" xr:uid="{00000000-0006-0000-0000-000001000000}">
      <text>
        <r>
          <rPr>
            <sz val="9"/>
            <color indexed="81"/>
            <rFont val="Tahoma"/>
            <family val="2"/>
          </rPr>
          <t>perpendicular to GW flow</t>
        </r>
      </text>
    </comment>
    <comment ref="A18" authorId="0" shapeId="0" xr:uid="{00000000-0006-0000-0000-000002000000}">
      <text>
        <r>
          <rPr>
            <sz val="9"/>
            <color indexed="81"/>
            <rFont val="Tahoma"/>
            <family val="2"/>
          </rPr>
          <t>parrallel to GW flow</t>
        </r>
      </text>
    </comment>
    <comment ref="A19" authorId="0" shapeId="0" xr:uid="{00000000-0006-0000-0000-000003000000}">
      <text>
        <r>
          <rPr>
            <sz val="9"/>
            <color indexed="81"/>
            <rFont val="Tahoma"/>
            <family val="2"/>
          </rPr>
          <t>depth</t>
        </r>
      </text>
    </comment>
    <comment ref="A22" authorId="0" shapeId="0" xr:uid="{00000000-0006-0000-0000-000004000000}">
      <text>
        <r>
          <rPr>
            <sz val="9"/>
            <color indexed="81"/>
            <rFont val="Tahoma"/>
            <family val="2"/>
          </rPr>
          <t xml:space="preserve">treated zone pore volume
</t>
        </r>
      </text>
    </comment>
    <comment ref="A23" authorId="0" shapeId="0" xr:uid="{00000000-0006-0000-0000-000005000000}">
      <text>
        <r>
          <rPr>
            <sz val="9"/>
            <color indexed="81"/>
            <rFont val="Tahoma"/>
            <family val="2"/>
          </rPr>
          <t>volume of GW entering per year</t>
        </r>
      </text>
    </comment>
    <comment ref="A24" authorId="0" shapeId="0" xr:uid="{00000000-0006-0000-0000-000006000000}">
      <text>
        <r>
          <rPr>
            <sz val="9"/>
            <color indexed="81"/>
            <rFont val="Tahoma"/>
            <family val="2"/>
          </rPr>
          <t>Total GW volume treated over the design life</t>
        </r>
      </text>
    </comment>
    <comment ref="A30" authorId="0" shapeId="0" xr:uid="{93D7FF57-4CB6-4D02-80B8-D9A566AFD645}">
      <text>
        <r>
          <rPr>
            <sz val="9"/>
            <color indexed="81"/>
            <rFont val="Tahoma"/>
            <family val="2"/>
          </rPr>
          <t>Commercial laboratories can measure Dissolved Inorganic Carbon (DIC) using a modification of the TOC procedure.</t>
        </r>
      </text>
    </comment>
    <comment ref="A33" authorId="0" shapeId="0" xr:uid="{DAEB5464-C355-4A8C-AE92-C26C2D204881}">
      <text>
        <r>
          <rPr>
            <sz val="9"/>
            <color indexed="81"/>
            <rFont val="Tahoma"/>
            <family val="2"/>
          </rPr>
          <t>Mineral or Methyl Orange acidity (Standard Method 8201) is generated by strong acids including sulfuric, nitric and hydrochloric.   Mineral acidity is measured by titrating with a strong base to pH=3.7.  If the initial pH is greater than 3.7, mineral acidity is zero.</t>
        </r>
      </text>
    </comment>
    <comment ref="A34" authorId="0" shapeId="0" xr:uid="{00000000-0006-0000-0000-000007000000}">
      <text>
        <r>
          <rPr>
            <sz val="9"/>
            <color indexed="81"/>
            <rFont val="Tahoma"/>
            <family val="2"/>
          </rPr>
          <t>Negative values indicate buffering capacity available to prevent pH decline</t>
        </r>
      </text>
    </comment>
    <comment ref="A35" authorId="0" shapeId="0" xr:uid="{E4CA9D9D-3BE3-4A1B-A0F7-4FA351E040BD}">
      <text>
        <r>
          <rPr>
            <sz val="9"/>
            <color indexed="81"/>
            <rFont val="Tahoma"/>
            <family val="2"/>
          </rPr>
          <t xml:space="preserve">Aquifer buffering capacity (pHBC) is due to proton exchange on iron and aluminum oxides.   pHBC is measured by titrating a soil sample with a strong base and measuring the change in pH.  Typical values of pHBC are shown on the Buffering Capacity Tab. 
</t>
        </r>
      </text>
    </comment>
    <comment ref="A36" authorId="0" shapeId="0" xr:uid="{00000000-0006-0000-0000-000008000000}">
      <text>
        <r>
          <rPr>
            <sz val="9"/>
            <color indexed="81"/>
            <rFont val="Tahoma"/>
            <family val="2"/>
          </rPr>
          <t>Negative values indicate buffering capacity available to prevent pH decline</t>
        </r>
      </text>
    </comment>
  </commentList>
</comments>
</file>

<file path=xl/sharedStrings.xml><?xml version="1.0" encoding="utf-8"?>
<sst xmlns="http://schemas.openxmlformats.org/spreadsheetml/2006/main" count="308" uniqueCount="213">
  <si>
    <t>NaOH</t>
  </si>
  <si>
    <t>PCE</t>
  </si>
  <si>
    <t>TCE</t>
  </si>
  <si>
    <t>DCE</t>
  </si>
  <si>
    <t>VC</t>
  </si>
  <si>
    <t>Kg</t>
  </si>
  <si>
    <t>ft</t>
  </si>
  <si>
    <t>L</t>
  </si>
  <si>
    <t>mg/L</t>
  </si>
  <si>
    <t>m</t>
  </si>
  <si>
    <t>L/yr</t>
  </si>
  <si>
    <t>Site Name:</t>
  </si>
  <si>
    <t>Facility Name:</t>
  </si>
  <si>
    <t>Owner:</t>
  </si>
  <si>
    <t>Aquifer Characteristics</t>
  </si>
  <si>
    <t>Description:</t>
  </si>
  <si>
    <t>Hydraulic Gradient:</t>
  </si>
  <si>
    <t>Hydraulic Conductivity:</t>
  </si>
  <si>
    <t>Sediment Specific Gravity:</t>
  </si>
  <si>
    <t>Porosity:</t>
  </si>
  <si>
    <t>Bulk Density:</t>
  </si>
  <si>
    <t>m/m</t>
  </si>
  <si>
    <t>m/d</t>
  </si>
  <si>
    <t>Geochemistry</t>
  </si>
  <si>
    <t>Background pH:</t>
  </si>
  <si>
    <t>Aquifer Buffering Capac.:</t>
  </si>
  <si>
    <t>meq/Kg/pH</t>
  </si>
  <si>
    <t>SU</t>
  </si>
  <si>
    <t>meq/L</t>
  </si>
  <si>
    <t>Width:</t>
  </si>
  <si>
    <t>Length:</t>
  </si>
  <si>
    <t>Vertical Thickness:</t>
  </si>
  <si>
    <t>Volume:</t>
  </si>
  <si>
    <t>Pore Volume:</t>
  </si>
  <si>
    <t>GW Flux:</t>
  </si>
  <si>
    <t>yr</t>
  </si>
  <si>
    <t>Lactic Acid</t>
  </si>
  <si>
    <t>Mineral Acidity:</t>
  </si>
  <si>
    <r>
      <t>m</t>
    </r>
    <r>
      <rPr>
        <vertAlign val="superscript"/>
        <sz val="11"/>
        <color theme="1"/>
        <rFont val="Calibri"/>
        <family val="2"/>
        <scheme val="minor"/>
      </rPr>
      <t>3</t>
    </r>
  </si>
  <si>
    <r>
      <t>ft</t>
    </r>
    <r>
      <rPr>
        <vertAlign val="superscript"/>
        <sz val="11"/>
        <color theme="1"/>
        <rFont val="Calibri"/>
        <family val="2"/>
        <scheme val="minor"/>
      </rPr>
      <t>3</t>
    </r>
  </si>
  <si>
    <t>ft/ft</t>
  </si>
  <si>
    <t>ft/d</t>
  </si>
  <si>
    <t>gal</t>
  </si>
  <si>
    <t>gal/yr</t>
  </si>
  <si>
    <t xml:space="preserve">Design Period: </t>
  </si>
  <si>
    <t>Base</t>
  </si>
  <si>
    <t>Formula</t>
  </si>
  <si>
    <t>MW</t>
  </si>
  <si>
    <t>Solubility</t>
  </si>
  <si>
    <t>Saturated solution pH</t>
  </si>
  <si>
    <t>g/mole</t>
  </si>
  <si>
    <t>g/L</t>
  </si>
  <si>
    <t>Caustic Soda</t>
  </si>
  <si>
    <t>&gt;13</t>
  </si>
  <si>
    <t>Caustic Potash</t>
  </si>
  <si>
    <t>KOH</t>
  </si>
  <si>
    <t>Soda Ash</t>
  </si>
  <si>
    <t>~11.7</t>
  </si>
  <si>
    <t>Baking Soda</t>
  </si>
  <si>
    <t>~8.3</t>
  </si>
  <si>
    <t>Hydrated Lime</t>
  </si>
  <si>
    <t>&gt;12</t>
  </si>
  <si>
    <t>~10.3</t>
  </si>
  <si>
    <t>Reaction</t>
  </si>
  <si>
    <t>Acetic Acid</t>
  </si>
  <si>
    <t>Glucose</t>
  </si>
  <si>
    <t>Soybean Oil</t>
  </si>
  <si>
    <t>Oxygen</t>
  </si>
  <si>
    <t>Nitrate</t>
  </si>
  <si>
    <t>Goethite</t>
  </si>
  <si>
    <t>Sulfate</t>
  </si>
  <si>
    <t>Target pH=</t>
  </si>
  <si>
    <t>α =</t>
  </si>
  <si>
    <t>2(1-α)</t>
  </si>
  <si>
    <t>3(1-α)</t>
  </si>
  <si>
    <t>6(1-α)</t>
  </si>
  <si>
    <t>56(1-α)</t>
  </si>
  <si>
    <t>α-1</t>
  </si>
  <si>
    <t>Methane</t>
  </si>
  <si>
    <t>per mole</t>
  </si>
  <si>
    <t>per Kg</t>
  </si>
  <si>
    <t>NA</t>
  </si>
  <si>
    <t>Influent Acidity</t>
  </si>
  <si>
    <t>lb</t>
  </si>
  <si>
    <t>Total GW Acidity</t>
  </si>
  <si>
    <t xml:space="preserve">Target pH: </t>
  </si>
  <si>
    <t>Base to raise starting pH</t>
  </si>
  <si>
    <t>Total Base Added</t>
  </si>
  <si>
    <t>eq</t>
  </si>
  <si>
    <r>
      <t>α = (1+ 10</t>
    </r>
    <r>
      <rPr>
        <vertAlign val="superscript"/>
        <sz val="11"/>
        <color theme="1"/>
        <rFont val="Calibri"/>
        <family val="2"/>
        <scheme val="minor"/>
      </rPr>
      <t>-6.352</t>
    </r>
    <r>
      <rPr>
        <sz val="11"/>
        <color theme="1"/>
        <rFont val="Calibri"/>
        <family val="2"/>
        <scheme val="minor"/>
      </rPr>
      <t xml:space="preserve"> /[H</t>
    </r>
    <r>
      <rPr>
        <vertAlign val="superscript"/>
        <sz val="11"/>
        <color theme="1"/>
        <rFont val="Calibri"/>
        <family val="2"/>
        <scheme val="minor"/>
      </rPr>
      <t>+</t>
    </r>
    <r>
      <rPr>
        <sz val="11"/>
        <color theme="1"/>
        <rFont val="Calibri"/>
        <family val="2"/>
        <scheme val="minor"/>
      </rPr>
      <t>])</t>
    </r>
    <r>
      <rPr>
        <vertAlign val="superscript"/>
        <sz val="11"/>
        <color theme="1"/>
        <rFont val="Calibri"/>
        <family val="2"/>
        <scheme val="minor"/>
      </rPr>
      <t>-1</t>
    </r>
  </si>
  <si>
    <r>
      <t>OH</t>
    </r>
    <r>
      <rPr>
        <vertAlign val="superscript"/>
        <sz val="11"/>
        <color theme="1"/>
        <rFont val="Calibri"/>
        <family val="2"/>
        <scheme val="minor"/>
      </rPr>
      <t>-</t>
    </r>
    <r>
      <rPr>
        <sz val="11"/>
        <color theme="1"/>
        <rFont val="Calibri"/>
        <family val="2"/>
        <scheme val="minor"/>
      </rPr>
      <t xml:space="preserve"> per mole</t>
    </r>
  </si>
  <si>
    <r>
      <t>OH</t>
    </r>
    <r>
      <rPr>
        <vertAlign val="superscript"/>
        <sz val="11"/>
        <color theme="1"/>
        <rFont val="Calibri"/>
        <family val="2"/>
        <scheme val="minor"/>
      </rPr>
      <t>-</t>
    </r>
    <r>
      <rPr>
        <sz val="11"/>
        <color theme="1"/>
        <rFont val="Calibri"/>
        <family val="2"/>
        <scheme val="minor"/>
      </rPr>
      <t xml:space="preserve"> per Kg</t>
    </r>
  </si>
  <si>
    <r>
      <t>Na</t>
    </r>
    <r>
      <rPr>
        <vertAlign val="subscript"/>
        <sz val="11"/>
        <color theme="1"/>
        <rFont val="Calibri"/>
        <family val="2"/>
        <scheme val="minor"/>
      </rPr>
      <t>2</t>
    </r>
    <r>
      <rPr>
        <sz val="11"/>
        <color theme="1"/>
        <rFont val="Calibri"/>
        <family val="2"/>
        <scheme val="minor"/>
      </rPr>
      <t>CO</t>
    </r>
    <r>
      <rPr>
        <vertAlign val="subscript"/>
        <sz val="11"/>
        <color theme="1"/>
        <rFont val="Calibri"/>
        <family val="2"/>
        <scheme val="minor"/>
      </rPr>
      <t>3</t>
    </r>
  </si>
  <si>
    <r>
      <t>NaHCO</t>
    </r>
    <r>
      <rPr>
        <vertAlign val="subscript"/>
        <sz val="11"/>
        <color theme="1"/>
        <rFont val="Calibri"/>
        <family val="2"/>
        <scheme val="minor"/>
      </rPr>
      <t>3</t>
    </r>
  </si>
  <si>
    <r>
      <t>Ca(OH)</t>
    </r>
    <r>
      <rPr>
        <vertAlign val="subscript"/>
        <sz val="11"/>
        <color theme="1"/>
        <rFont val="Calibri"/>
        <family val="2"/>
        <scheme val="minor"/>
      </rPr>
      <t>2</t>
    </r>
  </si>
  <si>
    <r>
      <t>Mg(OH)</t>
    </r>
    <r>
      <rPr>
        <vertAlign val="subscript"/>
        <sz val="11"/>
        <color theme="1"/>
        <rFont val="Calibri"/>
        <family val="2"/>
        <scheme val="minor"/>
      </rPr>
      <t>2</t>
    </r>
  </si>
  <si>
    <r>
      <t>H</t>
    </r>
    <r>
      <rPr>
        <vertAlign val="superscript"/>
        <sz val="11"/>
        <color theme="1"/>
        <rFont val="Calibri"/>
        <family val="2"/>
        <scheme val="minor"/>
      </rPr>
      <t>+</t>
    </r>
    <r>
      <rPr>
        <sz val="11"/>
        <color theme="1"/>
        <rFont val="Calibri"/>
        <family val="2"/>
        <scheme val="minor"/>
      </rPr>
      <t xml:space="preserve"> Produced</t>
    </r>
  </si>
  <si>
    <r>
      <t>C</t>
    </r>
    <r>
      <rPr>
        <vertAlign val="subscript"/>
        <sz val="11"/>
        <color theme="1"/>
        <rFont val="Calibri"/>
        <family val="2"/>
        <scheme val="minor"/>
      </rPr>
      <t>2</t>
    </r>
    <r>
      <rPr>
        <sz val="11"/>
        <color theme="1"/>
        <rFont val="Calibri"/>
        <family val="2"/>
        <scheme val="minor"/>
      </rPr>
      <t>Cl</t>
    </r>
    <r>
      <rPr>
        <vertAlign val="subscript"/>
        <sz val="11"/>
        <color theme="1"/>
        <rFont val="Calibri"/>
        <family val="2"/>
        <scheme val="minor"/>
      </rPr>
      <t>4</t>
    </r>
  </si>
  <si>
    <r>
      <t>C</t>
    </r>
    <r>
      <rPr>
        <vertAlign val="subscript"/>
        <sz val="11"/>
        <color theme="1"/>
        <rFont val="Calibri"/>
        <family val="2"/>
        <scheme val="minor"/>
      </rPr>
      <t>2</t>
    </r>
    <r>
      <rPr>
        <sz val="11"/>
        <color theme="1"/>
        <rFont val="Calibri"/>
        <family val="2"/>
        <scheme val="minor"/>
      </rPr>
      <t>HCl</t>
    </r>
    <r>
      <rPr>
        <vertAlign val="subscript"/>
        <sz val="11"/>
        <color theme="1"/>
        <rFont val="Calibri"/>
        <family val="2"/>
        <scheme val="minor"/>
      </rPr>
      <t>3</t>
    </r>
  </si>
  <si>
    <r>
      <t>C</t>
    </r>
    <r>
      <rPr>
        <vertAlign val="subscript"/>
        <sz val="11"/>
        <color theme="1"/>
        <rFont val="Calibri"/>
        <family val="2"/>
        <scheme val="minor"/>
      </rPr>
      <t>2</t>
    </r>
    <r>
      <rPr>
        <sz val="11"/>
        <color theme="1"/>
        <rFont val="Calibri"/>
        <family val="2"/>
        <scheme val="minor"/>
      </rPr>
      <t>HCl</t>
    </r>
    <r>
      <rPr>
        <vertAlign val="subscript"/>
        <sz val="11"/>
        <color theme="1"/>
        <rFont val="Calibri"/>
        <family val="2"/>
        <scheme val="minor"/>
      </rPr>
      <t xml:space="preserve">3 </t>
    </r>
    <r>
      <rPr>
        <sz val="11"/>
        <color theme="1"/>
        <rFont val="Calibri"/>
        <family val="2"/>
        <scheme val="minor"/>
      </rPr>
      <t>+ 3 H</t>
    </r>
    <r>
      <rPr>
        <vertAlign val="subscript"/>
        <sz val="11"/>
        <color theme="1"/>
        <rFont val="Calibri"/>
        <family val="2"/>
        <scheme val="minor"/>
      </rPr>
      <t>2</t>
    </r>
    <r>
      <rPr>
        <sz val="11"/>
        <color theme="1"/>
        <rFont val="Calibri"/>
        <family val="2"/>
        <scheme val="minor"/>
      </rPr>
      <t xml:space="preserve"> → C</t>
    </r>
    <r>
      <rPr>
        <vertAlign val="subscript"/>
        <sz val="11"/>
        <color theme="1"/>
        <rFont val="Calibri"/>
        <family val="2"/>
        <scheme val="minor"/>
      </rPr>
      <t>2</t>
    </r>
    <r>
      <rPr>
        <sz val="11"/>
        <color theme="1"/>
        <rFont val="Calibri"/>
        <family val="2"/>
        <scheme val="minor"/>
      </rPr>
      <t>H</t>
    </r>
    <r>
      <rPr>
        <vertAlign val="subscript"/>
        <sz val="11"/>
        <color theme="1"/>
        <rFont val="Calibri"/>
        <family val="2"/>
        <scheme val="minor"/>
      </rPr>
      <t>4</t>
    </r>
    <r>
      <rPr>
        <sz val="11"/>
        <color theme="1"/>
        <rFont val="Calibri"/>
        <family val="2"/>
        <scheme val="minor"/>
      </rPr>
      <t xml:space="preserve"> + 3H</t>
    </r>
    <r>
      <rPr>
        <vertAlign val="superscript"/>
        <sz val="11"/>
        <color theme="1"/>
        <rFont val="Calibri"/>
        <family val="2"/>
        <scheme val="minor"/>
      </rPr>
      <t>+</t>
    </r>
    <r>
      <rPr>
        <sz val="11"/>
        <color theme="1"/>
        <rFont val="Calibri"/>
        <family val="2"/>
        <scheme val="minor"/>
      </rPr>
      <t xml:space="preserve"> + 3Cl</t>
    </r>
    <r>
      <rPr>
        <vertAlign val="superscript"/>
        <sz val="11"/>
        <color theme="1"/>
        <rFont val="Calibri"/>
        <family val="2"/>
        <scheme val="minor"/>
      </rPr>
      <t>-</t>
    </r>
  </si>
  <si>
    <r>
      <t>C</t>
    </r>
    <r>
      <rPr>
        <vertAlign val="subscript"/>
        <sz val="11"/>
        <color theme="1"/>
        <rFont val="Calibri"/>
        <family val="2"/>
        <scheme val="minor"/>
      </rPr>
      <t>2</t>
    </r>
    <r>
      <rPr>
        <sz val="11"/>
        <color theme="1"/>
        <rFont val="Calibri"/>
        <family val="2"/>
        <scheme val="minor"/>
      </rPr>
      <t>H</t>
    </r>
    <r>
      <rPr>
        <vertAlign val="subscript"/>
        <sz val="11"/>
        <color theme="1"/>
        <rFont val="Calibri"/>
        <family val="2"/>
        <scheme val="minor"/>
      </rPr>
      <t>2</t>
    </r>
    <r>
      <rPr>
        <sz val="11"/>
        <color theme="1"/>
        <rFont val="Calibri"/>
        <family val="2"/>
        <scheme val="minor"/>
      </rPr>
      <t>Cl</t>
    </r>
    <r>
      <rPr>
        <vertAlign val="subscript"/>
        <sz val="11"/>
        <color theme="1"/>
        <rFont val="Calibri"/>
        <family val="2"/>
        <scheme val="minor"/>
      </rPr>
      <t>2</t>
    </r>
  </si>
  <si>
    <r>
      <t>C</t>
    </r>
    <r>
      <rPr>
        <vertAlign val="subscript"/>
        <sz val="11"/>
        <color theme="1"/>
        <rFont val="Calibri"/>
        <family val="2"/>
        <scheme val="minor"/>
      </rPr>
      <t>2</t>
    </r>
    <r>
      <rPr>
        <sz val="11"/>
        <color theme="1"/>
        <rFont val="Calibri"/>
        <family val="2"/>
        <scheme val="minor"/>
      </rPr>
      <t>H</t>
    </r>
    <r>
      <rPr>
        <vertAlign val="subscript"/>
        <sz val="11"/>
        <color theme="1"/>
        <rFont val="Calibri"/>
        <family val="2"/>
        <scheme val="minor"/>
      </rPr>
      <t>2</t>
    </r>
    <r>
      <rPr>
        <sz val="11"/>
        <color theme="1"/>
        <rFont val="Calibri"/>
        <family val="2"/>
        <scheme val="minor"/>
      </rPr>
      <t>Cl</t>
    </r>
    <r>
      <rPr>
        <vertAlign val="subscript"/>
        <sz val="11"/>
        <color theme="1"/>
        <rFont val="Calibri"/>
        <family val="2"/>
        <scheme val="minor"/>
      </rPr>
      <t xml:space="preserve">2 </t>
    </r>
    <r>
      <rPr>
        <sz val="11"/>
        <color theme="1"/>
        <rFont val="Calibri"/>
        <family val="2"/>
        <scheme val="minor"/>
      </rPr>
      <t>+ 2 H</t>
    </r>
    <r>
      <rPr>
        <vertAlign val="subscript"/>
        <sz val="11"/>
        <color theme="1"/>
        <rFont val="Calibri"/>
        <family val="2"/>
        <scheme val="minor"/>
      </rPr>
      <t>2</t>
    </r>
    <r>
      <rPr>
        <sz val="11"/>
        <color theme="1"/>
        <rFont val="Calibri"/>
        <family val="2"/>
        <scheme val="minor"/>
      </rPr>
      <t xml:space="preserve"> → C</t>
    </r>
    <r>
      <rPr>
        <vertAlign val="subscript"/>
        <sz val="11"/>
        <color theme="1"/>
        <rFont val="Calibri"/>
        <family val="2"/>
        <scheme val="minor"/>
      </rPr>
      <t>2</t>
    </r>
    <r>
      <rPr>
        <sz val="11"/>
        <color theme="1"/>
        <rFont val="Calibri"/>
        <family val="2"/>
        <scheme val="minor"/>
      </rPr>
      <t>H</t>
    </r>
    <r>
      <rPr>
        <vertAlign val="subscript"/>
        <sz val="11"/>
        <color theme="1"/>
        <rFont val="Calibri"/>
        <family val="2"/>
        <scheme val="minor"/>
      </rPr>
      <t>4</t>
    </r>
    <r>
      <rPr>
        <sz val="11"/>
        <color theme="1"/>
        <rFont val="Calibri"/>
        <family val="2"/>
        <scheme val="minor"/>
      </rPr>
      <t xml:space="preserve"> + 2H</t>
    </r>
    <r>
      <rPr>
        <vertAlign val="superscript"/>
        <sz val="11"/>
        <color theme="1"/>
        <rFont val="Calibri"/>
        <family val="2"/>
        <scheme val="minor"/>
      </rPr>
      <t>+</t>
    </r>
    <r>
      <rPr>
        <sz val="11"/>
        <color theme="1"/>
        <rFont val="Calibri"/>
        <family val="2"/>
        <scheme val="minor"/>
      </rPr>
      <t xml:space="preserve"> + 2Cl</t>
    </r>
    <r>
      <rPr>
        <vertAlign val="superscript"/>
        <sz val="11"/>
        <color theme="1"/>
        <rFont val="Calibri"/>
        <family val="2"/>
        <scheme val="minor"/>
      </rPr>
      <t>-</t>
    </r>
  </si>
  <si>
    <r>
      <t>C</t>
    </r>
    <r>
      <rPr>
        <vertAlign val="subscript"/>
        <sz val="11"/>
        <color theme="1"/>
        <rFont val="Calibri"/>
        <family val="2"/>
        <scheme val="minor"/>
      </rPr>
      <t>2</t>
    </r>
    <r>
      <rPr>
        <sz val="11"/>
        <color theme="1"/>
        <rFont val="Calibri"/>
        <family val="2"/>
        <scheme val="minor"/>
      </rPr>
      <t>H</t>
    </r>
    <r>
      <rPr>
        <vertAlign val="subscript"/>
        <sz val="11"/>
        <color theme="1"/>
        <rFont val="Calibri"/>
        <family val="2"/>
        <scheme val="minor"/>
      </rPr>
      <t>3</t>
    </r>
    <r>
      <rPr>
        <sz val="11"/>
        <color theme="1"/>
        <rFont val="Calibri"/>
        <family val="2"/>
        <scheme val="minor"/>
      </rPr>
      <t>Cl</t>
    </r>
  </si>
  <si>
    <r>
      <t>C</t>
    </r>
    <r>
      <rPr>
        <vertAlign val="subscript"/>
        <sz val="11"/>
        <color theme="1"/>
        <rFont val="Calibri"/>
        <family val="2"/>
        <scheme val="minor"/>
      </rPr>
      <t>2</t>
    </r>
    <r>
      <rPr>
        <sz val="11"/>
        <color theme="1"/>
        <rFont val="Calibri"/>
        <family val="2"/>
        <scheme val="minor"/>
      </rPr>
      <t>H</t>
    </r>
    <r>
      <rPr>
        <vertAlign val="subscript"/>
        <sz val="11"/>
        <color theme="1"/>
        <rFont val="Calibri"/>
        <family val="2"/>
        <scheme val="minor"/>
      </rPr>
      <t>3</t>
    </r>
    <r>
      <rPr>
        <sz val="11"/>
        <color theme="1"/>
        <rFont val="Calibri"/>
        <family val="2"/>
        <scheme val="minor"/>
      </rPr>
      <t>Cl</t>
    </r>
    <r>
      <rPr>
        <vertAlign val="subscript"/>
        <sz val="11"/>
        <color theme="1"/>
        <rFont val="Calibri"/>
        <family val="2"/>
        <scheme val="minor"/>
      </rPr>
      <t xml:space="preserve"> </t>
    </r>
    <r>
      <rPr>
        <sz val="11"/>
        <color theme="1"/>
        <rFont val="Calibri"/>
        <family val="2"/>
        <scheme val="minor"/>
      </rPr>
      <t>+ H</t>
    </r>
    <r>
      <rPr>
        <vertAlign val="subscript"/>
        <sz val="11"/>
        <color theme="1"/>
        <rFont val="Calibri"/>
        <family val="2"/>
        <scheme val="minor"/>
      </rPr>
      <t>2</t>
    </r>
    <r>
      <rPr>
        <sz val="11"/>
        <color theme="1"/>
        <rFont val="Calibri"/>
        <family val="2"/>
        <scheme val="minor"/>
      </rPr>
      <t xml:space="preserve"> → C</t>
    </r>
    <r>
      <rPr>
        <vertAlign val="subscript"/>
        <sz val="11"/>
        <color theme="1"/>
        <rFont val="Calibri"/>
        <family val="2"/>
        <scheme val="minor"/>
      </rPr>
      <t>2</t>
    </r>
    <r>
      <rPr>
        <sz val="11"/>
        <color theme="1"/>
        <rFont val="Calibri"/>
        <family val="2"/>
        <scheme val="minor"/>
      </rPr>
      <t>H</t>
    </r>
    <r>
      <rPr>
        <vertAlign val="subscript"/>
        <sz val="11"/>
        <color theme="1"/>
        <rFont val="Calibri"/>
        <family val="2"/>
        <scheme val="minor"/>
      </rPr>
      <t>4</t>
    </r>
    <r>
      <rPr>
        <sz val="11"/>
        <color theme="1"/>
        <rFont val="Calibri"/>
        <family val="2"/>
        <scheme val="minor"/>
      </rPr>
      <t xml:space="preserve"> + H</t>
    </r>
    <r>
      <rPr>
        <vertAlign val="superscript"/>
        <sz val="11"/>
        <color theme="1"/>
        <rFont val="Calibri"/>
        <family val="2"/>
        <scheme val="minor"/>
      </rPr>
      <t>+</t>
    </r>
    <r>
      <rPr>
        <sz val="11"/>
        <color theme="1"/>
        <rFont val="Calibri"/>
        <family val="2"/>
        <scheme val="minor"/>
      </rPr>
      <t xml:space="preserve"> + Cl</t>
    </r>
    <r>
      <rPr>
        <vertAlign val="superscript"/>
        <sz val="11"/>
        <color theme="1"/>
        <rFont val="Calibri"/>
        <family val="2"/>
        <scheme val="minor"/>
      </rPr>
      <t>-</t>
    </r>
  </si>
  <si>
    <r>
      <t>C</t>
    </r>
    <r>
      <rPr>
        <vertAlign val="subscript"/>
        <sz val="11"/>
        <color theme="1"/>
        <rFont val="Calibri"/>
        <family val="2"/>
        <scheme val="minor"/>
      </rPr>
      <t>2</t>
    </r>
    <r>
      <rPr>
        <sz val="11"/>
        <color theme="1"/>
        <rFont val="Calibri"/>
        <family val="2"/>
        <scheme val="minor"/>
      </rPr>
      <t>H</t>
    </r>
    <r>
      <rPr>
        <vertAlign val="subscript"/>
        <sz val="11"/>
        <color theme="1"/>
        <rFont val="Calibri"/>
        <family val="2"/>
        <scheme val="minor"/>
      </rPr>
      <t>4</t>
    </r>
    <r>
      <rPr>
        <sz val="11"/>
        <color theme="1"/>
        <rFont val="Calibri"/>
        <family val="2"/>
        <scheme val="minor"/>
      </rPr>
      <t>O</t>
    </r>
    <r>
      <rPr>
        <vertAlign val="subscript"/>
        <sz val="11"/>
        <color theme="1"/>
        <rFont val="Calibri"/>
        <family val="2"/>
        <scheme val="minor"/>
      </rPr>
      <t>2</t>
    </r>
  </si>
  <si>
    <r>
      <t>C</t>
    </r>
    <r>
      <rPr>
        <vertAlign val="subscript"/>
        <sz val="11"/>
        <color theme="1"/>
        <rFont val="Calibri"/>
        <family val="2"/>
        <scheme val="minor"/>
      </rPr>
      <t>3</t>
    </r>
    <r>
      <rPr>
        <sz val="11"/>
        <color theme="1"/>
        <rFont val="Calibri"/>
        <family val="2"/>
        <scheme val="minor"/>
      </rPr>
      <t>H</t>
    </r>
    <r>
      <rPr>
        <vertAlign val="subscript"/>
        <sz val="11"/>
        <color theme="1"/>
        <rFont val="Calibri"/>
        <family val="2"/>
        <scheme val="minor"/>
      </rPr>
      <t>6</t>
    </r>
    <r>
      <rPr>
        <sz val="11"/>
        <color theme="1"/>
        <rFont val="Calibri"/>
        <family val="2"/>
        <scheme val="minor"/>
      </rPr>
      <t>O</t>
    </r>
    <r>
      <rPr>
        <vertAlign val="subscript"/>
        <sz val="11"/>
        <color theme="1"/>
        <rFont val="Calibri"/>
        <family val="2"/>
        <scheme val="minor"/>
      </rPr>
      <t>3</t>
    </r>
  </si>
  <si>
    <r>
      <t>C</t>
    </r>
    <r>
      <rPr>
        <vertAlign val="subscript"/>
        <sz val="11"/>
        <color theme="1"/>
        <rFont val="Calibri"/>
        <family val="2"/>
        <scheme val="minor"/>
      </rPr>
      <t>6</t>
    </r>
    <r>
      <rPr>
        <sz val="11"/>
        <color theme="1"/>
        <rFont val="Calibri"/>
        <family val="2"/>
        <scheme val="minor"/>
      </rPr>
      <t>H</t>
    </r>
    <r>
      <rPr>
        <vertAlign val="subscript"/>
        <sz val="11"/>
        <color theme="1"/>
        <rFont val="Calibri"/>
        <family val="2"/>
        <scheme val="minor"/>
      </rPr>
      <t>12</t>
    </r>
    <r>
      <rPr>
        <sz val="11"/>
        <color theme="1"/>
        <rFont val="Calibri"/>
        <family val="2"/>
        <scheme val="minor"/>
      </rPr>
      <t>O</t>
    </r>
    <r>
      <rPr>
        <vertAlign val="subscript"/>
        <sz val="11"/>
        <color theme="1"/>
        <rFont val="Calibri"/>
        <family val="2"/>
        <scheme val="minor"/>
      </rPr>
      <t>6</t>
    </r>
  </si>
  <si>
    <r>
      <t>C</t>
    </r>
    <r>
      <rPr>
        <vertAlign val="subscript"/>
        <sz val="11"/>
        <color theme="1"/>
        <rFont val="Calibri"/>
        <family val="2"/>
        <scheme val="minor"/>
      </rPr>
      <t>56</t>
    </r>
    <r>
      <rPr>
        <sz val="11"/>
        <color theme="1"/>
        <rFont val="Calibri"/>
        <family val="2"/>
        <scheme val="minor"/>
      </rPr>
      <t>H</t>
    </r>
    <r>
      <rPr>
        <vertAlign val="subscript"/>
        <sz val="11"/>
        <color theme="1"/>
        <rFont val="Calibri"/>
        <family val="2"/>
        <scheme val="minor"/>
      </rPr>
      <t>100</t>
    </r>
    <r>
      <rPr>
        <sz val="11"/>
        <color theme="1"/>
        <rFont val="Calibri"/>
        <family val="2"/>
        <scheme val="minor"/>
      </rPr>
      <t>O</t>
    </r>
    <r>
      <rPr>
        <vertAlign val="subscript"/>
        <sz val="11"/>
        <color theme="1"/>
        <rFont val="Calibri"/>
        <family val="2"/>
        <scheme val="minor"/>
      </rPr>
      <t>6</t>
    </r>
  </si>
  <si>
    <r>
      <t>O</t>
    </r>
    <r>
      <rPr>
        <vertAlign val="subscript"/>
        <sz val="11"/>
        <color theme="1"/>
        <rFont val="Calibri"/>
        <family val="2"/>
        <scheme val="minor"/>
      </rPr>
      <t>2</t>
    </r>
  </si>
  <si>
    <r>
      <t>NO</t>
    </r>
    <r>
      <rPr>
        <vertAlign val="subscript"/>
        <sz val="11"/>
        <color theme="1"/>
        <rFont val="Calibri"/>
        <family val="2"/>
        <scheme val="minor"/>
      </rPr>
      <t>3</t>
    </r>
    <r>
      <rPr>
        <vertAlign val="superscript"/>
        <sz val="11"/>
        <color theme="1"/>
        <rFont val="Calibri"/>
        <family val="2"/>
        <scheme val="minor"/>
      </rPr>
      <t>-</t>
    </r>
  </si>
  <si>
    <r>
      <t>Fe</t>
    </r>
    <r>
      <rPr>
        <vertAlign val="superscript"/>
        <sz val="11"/>
        <color theme="1"/>
        <rFont val="Calibri"/>
        <family val="2"/>
        <scheme val="minor"/>
      </rPr>
      <t>2+</t>
    </r>
    <r>
      <rPr>
        <sz val="11"/>
        <color theme="1"/>
        <rFont val="Calibri"/>
        <family val="2"/>
        <scheme val="minor"/>
      </rPr>
      <t xml:space="preserve"> </t>
    </r>
  </si>
  <si>
    <r>
      <t>SO</t>
    </r>
    <r>
      <rPr>
        <vertAlign val="subscript"/>
        <sz val="11"/>
        <color theme="1"/>
        <rFont val="Calibri"/>
        <family val="2"/>
        <scheme val="minor"/>
      </rPr>
      <t>4</t>
    </r>
    <r>
      <rPr>
        <vertAlign val="superscript"/>
        <sz val="11"/>
        <color theme="1"/>
        <rFont val="Calibri"/>
        <family val="2"/>
        <scheme val="minor"/>
      </rPr>
      <t>2-</t>
    </r>
  </si>
  <si>
    <r>
      <t>CH</t>
    </r>
    <r>
      <rPr>
        <vertAlign val="subscript"/>
        <sz val="11"/>
        <color theme="1"/>
        <rFont val="Calibri"/>
        <family val="2"/>
        <scheme val="minor"/>
      </rPr>
      <t>4</t>
    </r>
  </si>
  <si>
    <r>
      <t>C</t>
    </r>
    <r>
      <rPr>
        <vertAlign val="subscript"/>
        <sz val="11"/>
        <color theme="1"/>
        <rFont val="Calibri"/>
        <family val="2"/>
        <scheme val="minor"/>
      </rPr>
      <t>2</t>
    </r>
    <r>
      <rPr>
        <sz val="11"/>
        <color theme="1"/>
        <rFont val="Calibri"/>
        <family val="2"/>
        <scheme val="minor"/>
      </rPr>
      <t>H</t>
    </r>
    <r>
      <rPr>
        <vertAlign val="subscript"/>
        <sz val="11"/>
        <color theme="1"/>
        <rFont val="Calibri"/>
        <family val="2"/>
        <scheme val="minor"/>
      </rPr>
      <t>4</t>
    </r>
    <r>
      <rPr>
        <sz val="11"/>
        <color theme="1"/>
        <rFont val="Calibri"/>
        <family val="2"/>
        <scheme val="minor"/>
      </rPr>
      <t>O</t>
    </r>
    <r>
      <rPr>
        <vertAlign val="subscript"/>
        <sz val="11"/>
        <color theme="1"/>
        <rFont val="Calibri"/>
        <family val="2"/>
        <scheme val="minor"/>
      </rPr>
      <t>2</t>
    </r>
    <r>
      <rPr>
        <sz val="11"/>
        <color theme="1"/>
        <rFont val="Calibri"/>
        <family val="2"/>
        <scheme val="minor"/>
      </rPr>
      <t xml:space="preserve"> + 4 H</t>
    </r>
    <r>
      <rPr>
        <vertAlign val="subscript"/>
        <sz val="11"/>
        <color theme="1"/>
        <rFont val="Calibri"/>
        <family val="2"/>
        <scheme val="minor"/>
      </rPr>
      <t>2</t>
    </r>
    <r>
      <rPr>
        <sz val="11"/>
        <color theme="1"/>
        <rFont val="Calibri"/>
        <family val="2"/>
        <scheme val="minor"/>
      </rPr>
      <t>O → 2αH</t>
    </r>
    <r>
      <rPr>
        <vertAlign val="subscript"/>
        <sz val="11"/>
        <color theme="1"/>
        <rFont val="Calibri"/>
        <family val="2"/>
        <scheme val="minor"/>
      </rPr>
      <t>2</t>
    </r>
    <r>
      <rPr>
        <sz val="11"/>
        <color theme="1"/>
        <rFont val="Calibri"/>
        <family val="2"/>
        <scheme val="minor"/>
      </rPr>
      <t>CO</t>
    </r>
    <r>
      <rPr>
        <vertAlign val="subscript"/>
        <sz val="11"/>
        <color theme="1"/>
        <rFont val="Calibri"/>
        <family val="2"/>
        <scheme val="minor"/>
      </rPr>
      <t>3</t>
    </r>
    <r>
      <rPr>
        <vertAlign val="superscript"/>
        <sz val="11"/>
        <color theme="1"/>
        <rFont val="Calibri"/>
        <family val="2"/>
        <scheme val="minor"/>
      </rPr>
      <t>*</t>
    </r>
    <r>
      <rPr>
        <sz val="11"/>
        <color theme="1"/>
        <rFont val="Calibri"/>
        <family val="2"/>
        <scheme val="minor"/>
      </rPr>
      <t xml:space="preserve"> + 2(1-α)H</t>
    </r>
    <r>
      <rPr>
        <vertAlign val="superscript"/>
        <sz val="11"/>
        <color theme="1"/>
        <rFont val="Calibri"/>
        <family val="2"/>
        <scheme val="minor"/>
      </rPr>
      <t>+</t>
    </r>
    <r>
      <rPr>
        <sz val="11"/>
        <color theme="1"/>
        <rFont val="Calibri"/>
        <family val="2"/>
        <scheme val="minor"/>
      </rPr>
      <t xml:space="preserve"> +2(1-α)HCO</t>
    </r>
    <r>
      <rPr>
        <vertAlign val="subscript"/>
        <sz val="11"/>
        <color theme="1"/>
        <rFont val="Calibri"/>
        <family val="2"/>
        <scheme val="minor"/>
      </rPr>
      <t>3</t>
    </r>
    <r>
      <rPr>
        <vertAlign val="superscript"/>
        <sz val="11"/>
        <color theme="1"/>
        <rFont val="Calibri"/>
        <family val="2"/>
        <scheme val="minor"/>
      </rPr>
      <t>–</t>
    </r>
    <r>
      <rPr>
        <sz val="11"/>
        <color theme="1"/>
        <rFont val="Calibri"/>
        <family val="2"/>
        <scheme val="minor"/>
      </rPr>
      <t>+ 4H</t>
    </r>
    <r>
      <rPr>
        <vertAlign val="subscript"/>
        <sz val="11"/>
        <color theme="1"/>
        <rFont val="Calibri"/>
        <family val="2"/>
        <scheme val="minor"/>
      </rPr>
      <t>2</t>
    </r>
  </si>
  <si>
    <r>
      <t>C</t>
    </r>
    <r>
      <rPr>
        <vertAlign val="subscript"/>
        <sz val="11"/>
        <color theme="1"/>
        <rFont val="Calibri"/>
        <family val="2"/>
        <scheme val="minor"/>
      </rPr>
      <t>3</t>
    </r>
    <r>
      <rPr>
        <sz val="11"/>
        <color theme="1"/>
        <rFont val="Calibri"/>
        <family val="2"/>
        <scheme val="minor"/>
      </rPr>
      <t>H</t>
    </r>
    <r>
      <rPr>
        <vertAlign val="subscript"/>
        <sz val="11"/>
        <color theme="1"/>
        <rFont val="Calibri"/>
        <family val="2"/>
        <scheme val="minor"/>
      </rPr>
      <t>6</t>
    </r>
    <r>
      <rPr>
        <sz val="11"/>
        <color theme="1"/>
        <rFont val="Calibri"/>
        <family val="2"/>
        <scheme val="minor"/>
      </rPr>
      <t>O</t>
    </r>
    <r>
      <rPr>
        <vertAlign val="subscript"/>
        <sz val="11"/>
        <color theme="1"/>
        <rFont val="Calibri"/>
        <family val="2"/>
        <scheme val="minor"/>
      </rPr>
      <t>3</t>
    </r>
    <r>
      <rPr>
        <sz val="11"/>
        <color theme="1"/>
        <rFont val="Calibri"/>
        <family val="2"/>
        <scheme val="minor"/>
      </rPr>
      <t>+ 3 H</t>
    </r>
    <r>
      <rPr>
        <vertAlign val="subscript"/>
        <sz val="11"/>
        <color theme="1"/>
        <rFont val="Calibri"/>
        <family val="2"/>
        <scheme val="minor"/>
      </rPr>
      <t>2</t>
    </r>
    <r>
      <rPr>
        <sz val="11"/>
        <color theme="1"/>
        <rFont val="Calibri"/>
        <family val="2"/>
        <scheme val="minor"/>
      </rPr>
      <t>O → 3αH</t>
    </r>
    <r>
      <rPr>
        <vertAlign val="subscript"/>
        <sz val="11"/>
        <color theme="1"/>
        <rFont val="Calibri"/>
        <family val="2"/>
        <scheme val="minor"/>
      </rPr>
      <t>2</t>
    </r>
    <r>
      <rPr>
        <sz val="11"/>
        <color theme="1"/>
        <rFont val="Calibri"/>
        <family val="2"/>
        <scheme val="minor"/>
      </rPr>
      <t>CO</t>
    </r>
    <r>
      <rPr>
        <vertAlign val="subscript"/>
        <sz val="11"/>
        <color theme="1"/>
        <rFont val="Calibri"/>
        <family val="2"/>
        <scheme val="minor"/>
      </rPr>
      <t>3</t>
    </r>
    <r>
      <rPr>
        <vertAlign val="superscript"/>
        <sz val="11"/>
        <color theme="1"/>
        <rFont val="Calibri"/>
        <family val="2"/>
        <scheme val="minor"/>
      </rPr>
      <t>*</t>
    </r>
    <r>
      <rPr>
        <sz val="11"/>
        <color theme="1"/>
        <rFont val="Calibri"/>
        <family val="2"/>
        <scheme val="minor"/>
      </rPr>
      <t xml:space="preserve"> + 3(1-α)H</t>
    </r>
    <r>
      <rPr>
        <vertAlign val="superscript"/>
        <sz val="11"/>
        <color theme="1"/>
        <rFont val="Calibri"/>
        <family val="2"/>
        <scheme val="minor"/>
      </rPr>
      <t>+</t>
    </r>
    <r>
      <rPr>
        <sz val="11"/>
        <color theme="1"/>
        <rFont val="Calibri"/>
        <family val="2"/>
        <scheme val="minor"/>
      </rPr>
      <t xml:space="preserve"> +3(1-α)HCO</t>
    </r>
    <r>
      <rPr>
        <vertAlign val="subscript"/>
        <sz val="11"/>
        <color theme="1"/>
        <rFont val="Calibri"/>
        <family val="2"/>
        <scheme val="minor"/>
      </rPr>
      <t>3</t>
    </r>
    <r>
      <rPr>
        <vertAlign val="superscript"/>
        <sz val="11"/>
        <color theme="1"/>
        <rFont val="Calibri"/>
        <family val="2"/>
        <scheme val="minor"/>
      </rPr>
      <t>–</t>
    </r>
    <r>
      <rPr>
        <sz val="11"/>
        <color theme="1"/>
        <rFont val="Calibri"/>
        <family val="2"/>
        <scheme val="minor"/>
      </rPr>
      <t xml:space="preserve">  + 6H</t>
    </r>
    <r>
      <rPr>
        <vertAlign val="subscript"/>
        <sz val="11"/>
        <color theme="1"/>
        <rFont val="Calibri"/>
        <family val="2"/>
        <scheme val="minor"/>
      </rPr>
      <t>2</t>
    </r>
  </si>
  <si>
    <r>
      <t>C</t>
    </r>
    <r>
      <rPr>
        <vertAlign val="subscript"/>
        <sz val="11"/>
        <color theme="1"/>
        <rFont val="Calibri"/>
        <family val="2"/>
        <scheme val="minor"/>
      </rPr>
      <t>6</t>
    </r>
    <r>
      <rPr>
        <sz val="11"/>
        <color theme="1"/>
        <rFont val="Calibri"/>
        <family val="2"/>
        <scheme val="minor"/>
      </rPr>
      <t>H</t>
    </r>
    <r>
      <rPr>
        <vertAlign val="subscript"/>
        <sz val="11"/>
        <color theme="1"/>
        <rFont val="Calibri"/>
        <family val="2"/>
        <scheme val="minor"/>
      </rPr>
      <t>12</t>
    </r>
    <r>
      <rPr>
        <sz val="11"/>
        <color theme="1"/>
        <rFont val="Calibri"/>
        <family val="2"/>
        <scheme val="minor"/>
      </rPr>
      <t>O</t>
    </r>
    <r>
      <rPr>
        <vertAlign val="subscript"/>
        <sz val="11"/>
        <color theme="1"/>
        <rFont val="Calibri"/>
        <family val="2"/>
        <scheme val="minor"/>
      </rPr>
      <t>6</t>
    </r>
    <r>
      <rPr>
        <sz val="11"/>
        <color theme="1"/>
        <rFont val="Calibri"/>
        <family val="2"/>
        <scheme val="minor"/>
      </rPr>
      <t xml:space="preserve"> + 162 H</t>
    </r>
    <r>
      <rPr>
        <vertAlign val="subscript"/>
        <sz val="11"/>
        <color theme="1"/>
        <rFont val="Calibri"/>
        <family val="2"/>
        <scheme val="minor"/>
      </rPr>
      <t>2</t>
    </r>
    <r>
      <rPr>
        <sz val="11"/>
        <color theme="1"/>
        <rFont val="Calibri"/>
        <family val="2"/>
        <scheme val="minor"/>
      </rPr>
      <t>O → 6αH</t>
    </r>
    <r>
      <rPr>
        <vertAlign val="subscript"/>
        <sz val="11"/>
        <color theme="1"/>
        <rFont val="Calibri"/>
        <family val="2"/>
        <scheme val="minor"/>
      </rPr>
      <t>2</t>
    </r>
    <r>
      <rPr>
        <sz val="11"/>
        <color theme="1"/>
        <rFont val="Calibri"/>
        <family val="2"/>
        <scheme val="minor"/>
      </rPr>
      <t>CO</t>
    </r>
    <r>
      <rPr>
        <vertAlign val="subscript"/>
        <sz val="11"/>
        <color theme="1"/>
        <rFont val="Calibri"/>
        <family val="2"/>
        <scheme val="minor"/>
      </rPr>
      <t>3</t>
    </r>
    <r>
      <rPr>
        <vertAlign val="superscript"/>
        <sz val="11"/>
        <color theme="1"/>
        <rFont val="Calibri"/>
        <family val="2"/>
        <scheme val="minor"/>
      </rPr>
      <t>*</t>
    </r>
    <r>
      <rPr>
        <sz val="11"/>
        <color theme="1"/>
        <rFont val="Calibri"/>
        <family val="2"/>
        <scheme val="minor"/>
      </rPr>
      <t xml:space="preserve"> + 6(1-α)H</t>
    </r>
    <r>
      <rPr>
        <vertAlign val="superscript"/>
        <sz val="11"/>
        <color theme="1"/>
        <rFont val="Calibri"/>
        <family val="2"/>
        <scheme val="minor"/>
      </rPr>
      <t>+</t>
    </r>
    <r>
      <rPr>
        <sz val="11"/>
        <color theme="1"/>
        <rFont val="Calibri"/>
        <family val="2"/>
        <scheme val="minor"/>
      </rPr>
      <t xml:space="preserve"> +6 (1-α)HCO</t>
    </r>
    <r>
      <rPr>
        <vertAlign val="subscript"/>
        <sz val="11"/>
        <color theme="1"/>
        <rFont val="Calibri"/>
        <family val="2"/>
        <scheme val="minor"/>
      </rPr>
      <t>3</t>
    </r>
    <r>
      <rPr>
        <vertAlign val="superscript"/>
        <sz val="11"/>
        <color theme="1"/>
        <rFont val="Calibri"/>
        <family val="2"/>
        <scheme val="minor"/>
      </rPr>
      <t>–</t>
    </r>
    <r>
      <rPr>
        <sz val="11"/>
        <color theme="1"/>
        <rFont val="Calibri"/>
        <family val="2"/>
        <scheme val="minor"/>
      </rPr>
      <t xml:space="preserve">  +12H</t>
    </r>
    <r>
      <rPr>
        <vertAlign val="subscript"/>
        <sz val="11"/>
        <color theme="1"/>
        <rFont val="Calibri"/>
        <family val="2"/>
        <scheme val="minor"/>
      </rPr>
      <t>2</t>
    </r>
  </si>
  <si>
    <r>
      <t>C</t>
    </r>
    <r>
      <rPr>
        <vertAlign val="subscript"/>
        <sz val="11"/>
        <color theme="1"/>
        <rFont val="Calibri"/>
        <family val="2"/>
        <scheme val="minor"/>
      </rPr>
      <t>56</t>
    </r>
    <r>
      <rPr>
        <sz val="11"/>
        <color theme="1"/>
        <rFont val="Calibri"/>
        <family val="2"/>
        <scheme val="minor"/>
      </rPr>
      <t>H</t>
    </r>
    <r>
      <rPr>
        <vertAlign val="subscript"/>
        <sz val="11"/>
        <color theme="1"/>
        <rFont val="Calibri"/>
        <family val="2"/>
        <scheme val="minor"/>
      </rPr>
      <t>100</t>
    </r>
    <r>
      <rPr>
        <sz val="11"/>
        <color theme="1"/>
        <rFont val="Calibri"/>
        <family val="2"/>
        <scheme val="minor"/>
      </rPr>
      <t>O</t>
    </r>
    <r>
      <rPr>
        <vertAlign val="subscript"/>
        <sz val="11"/>
        <color theme="1"/>
        <rFont val="Calibri"/>
        <family val="2"/>
        <scheme val="minor"/>
      </rPr>
      <t>6</t>
    </r>
    <r>
      <rPr>
        <sz val="11"/>
        <color theme="1"/>
        <rFont val="Calibri"/>
        <family val="2"/>
        <scheme val="minor"/>
      </rPr>
      <t xml:space="preserve"> + 162 H</t>
    </r>
    <r>
      <rPr>
        <vertAlign val="subscript"/>
        <sz val="11"/>
        <color theme="1"/>
        <rFont val="Calibri"/>
        <family val="2"/>
        <scheme val="minor"/>
      </rPr>
      <t>2</t>
    </r>
    <r>
      <rPr>
        <sz val="11"/>
        <color theme="1"/>
        <rFont val="Calibri"/>
        <family val="2"/>
        <scheme val="minor"/>
      </rPr>
      <t>O → 56 α H</t>
    </r>
    <r>
      <rPr>
        <vertAlign val="subscript"/>
        <sz val="11"/>
        <color theme="1"/>
        <rFont val="Calibri"/>
        <family val="2"/>
        <scheme val="minor"/>
      </rPr>
      <t>2</t>
    </r>
    <r>
      <rPr>
        <sz val="11"/>
        <color theme="1"/>
        <rFont val="Calibri"/>
        <family val="2"/>
        <scheme val="minor"/>
      </rPr>
      <t>CO</t>
    </r>
    <r>
      <rPr>
        <vertAlign val="subscript"/>
        <sz val="11"/>
        <color theme="1"/>
        <rFont val="Calibri"/>
        <family val="2"/>
        <scheme val="minor"/>
      </rPr>
      <t>3</t>
    </r>
    <r>
      <rPr>
        <vertAlign val="superscript"/>
        <sz val="11"/>
        <color theme="1"/>
        <rFont val="Calibri"/>
        <family val="2"/>
        <scheme val="minor"/>
      </rPr>
      <t>*</t>
    </r>
    <r>
      <rPr>
        <sz val="11"/>
        <color theme="1"/>
        <rFont val="Calibri"/>
        <family val="2"/>
        <scheme val="minor"/>
      </rPr>
      <t xml:space="preserve"> + (1-α)H</t>
    </r>
    <r>
      <rPr>
        <vertAlign val="superscript"/>
        <sz val="11"/>
        <color theme="1"/>
        <rFont val="Calibri"/>
        <family val="2"/>
        <scheme val="minor"/>
      </rPr>
      <t>+</t>
    </r>
    <r>
      <rPr>
        <sz val="11"/>
        <color theme="1"/>
        <rFont val="Calibri"/>
        <family val="2"/>
        <scheme val="minor"/>
      </rPr>
      <t xml:space="preserve"> +(1-α)HCO</t>
    </r>
    <r>
      <rPr>
        <vertAlign val="subscript"/>
        <sz val="11"/>
        <color theme="1"/>
        <rFont val="Calibri"/>
        <family val="2"/>
        <scheme val="minor"/>
      </rPr>
      <t>3</t>
    </r>
    <r>
      <rPr>
        <vertAlign val="superscript"/>
        <sz val="11"/>
        <color theme="1"/>
        <rFont val="Calibri"/>
        <family val="2"/>
        <scheme val="minor"/>
      </rPr>
      <t>–</t>
    </r>
    <r>
      <rPr>
        <sz val="11"/>
        <color theme="1"/>
        <rFont val="Calibri"/>
        <family val="2"/>
        <scheme val="minor"/>
      </rPr>
      <t xml:space="preserve"> +156 H</t>
    </r>
    <r>
      <rPr>
        <vertAlign val="subscript"/>
        <sz val="11"/>
        <color theme="1"/>
        <rFont val="Calibri"/>
        <family val="2"/>
        <scheme val="minor"/>
      </rPr>
      <t>2</t>
    </r>
  </si>
  <si>
    <r>
      <t>O</t>
    </r>
    <r>
      <rPr>
        <vertAlign val="subscript"/>
        <sz val="11"/>
        <color theme="1"/>
        <rFont val="Calibri"/>
        <family val="2"/>
        <scheme val="minor"/>
      </rPr>
      <t>2</t>
    </r>
    <r>
      <rPr>
        <sz val="11"/>
        <color theme="1"/>
        <rFont val="Calibri"/>
        <family val="2"/>
        <scheme val="minor"/>
      </rPr>
      <t xml:space="preserve"> + 2 H</t>
    </r>
    <r>
      <rPr>
        <vertAlign val="subscript"/>
        <sz val="11"/>
        <color theme="1"/>
        <rFont val="Calibri"/>
        <family val="2"/>
        <scheme val="minor"/>
      </rPr>
      <t>2</t>
    </r>
    <r>
      <rPr>
        <sz val="11"/>
        <color theme="1"/>
        <rFont val="Calibri"/>
        <family val="2"/>
        <scheme val="minor"/>
      </rPr>
      <t xml:space="preserve">  → 2 H</t>
    </r>
    <r>
      <rPr>
        <vertAlign val="subscript"/>
        <sz val="11"/>
        <color theme="1"/>
        <rFont val="Calibri"/>
        <family val="2"/>
        <scheme val="minor"/>
      </rPr>
      <t>2</t>
    </r>
    <r>
      <rPr>
        <sz val="11"/>
        <color theme="1"/>
        <rFont val="Calibri"/>
        <family val="2"/>
        <scheme val="minor"/>
      </rPr>
      <t>O</t>
    </r>
  </si>
  <si>
    <r>
      <t>NO</t>
    </r>
    <r>
      <rPr>
        <vertAlign val="subscript"/>
        <sz val="11"/>
        <color theme="1"/>
        <rFont val="Calibri"/>
        <family val="2"/>
        <scheme val="minor"/>
      </rPr>
      <t>3</t>
    </r>
    <r>
      <rPr>
        <vertAlign val="superscript"/>
        <sz val="11"/>
        <color theme="1"/>
        <rFont val="Calibri"/>
        <family val="2"/>
        <scheme val="minor"/>
      </rPr>
      <t>-</t>
    </r>
    <r>
      <rPr>
        <sz val="11"/>
        <color theme="1"/>
        <rFont val="Calibri"/>
        <family val="2"/>
        <scheme val="minor"/>
      </rPr>
      <t xml:space="preserve"> + 2½ H</t>
    </r>
    <r>
      <rPr>
        <vertAlign val="subscript"/>
        <sz val="11"/>
        <color theme="1"/>
        <rFont val="Calibri"/>
        <family val="2"/>
        <scheme val="minor"/>
      </rPr>
      <t>2</t>
    </r>
    <r>
      <rPr>
        <sz val="11"/>
        <color theme="1"/>
        <rFont val="Calibri"/>
        <family val="2"/>
        <scheme val="minor"/>
      </rPr>
      <t xml:space="preserve"> → 2 H</t>
    </r>
    <r>
      <rPr>
        <vertAlign val="subscript"/>
        <sz val="11"/>
        <color theme="1"/>
        <rFont val="Calibri"/>
        <family val="2"/>
        <scheme val="minor"/>
      </rPr>
      <t>2</t>
    </r>
    <r>
      <rPr>
        <sz val="11"/>
        <color theme="1"/>
        <rFont val="Calibri"/>
        <family val="2"/>
        <scheme val="minor"/>
      </rPr>
      <t>O + ½ N</t>
    </r>
    <r>
      <rPr>
        <vertAlign val="subscript"/>
        <sz val="11"/>
        <color theme="1"/>
        <rFont val="Calibri"/>
        <family val="2"/>
        <scheme val="minor"/>
      </rPr>
      <t xml:space="preserve">2 </t>
    </r>
    <r>
      <rPr>
        <sz val="11"/>
        <color theme="1"/>
        <rFont val="Calibri"/>
        <family val="2"/>
        <scheme val="minor"/>
      </rPr>
      <t>+ OH</t>
    </r>
    <r>
      <rPr>
        <vertAlign val="superscript"/>
        <sz val="11"/>
        <color theme="1"/>
        <rFont val="Calibri"/>
        <family val="2"/>
        <scheme val="minor"/>
      </rPr>
      <t>-</t>
    </r>
  </si>
  <si>
    <r>
      <t>FeO(OH) + ½ H</t>
    </r>
    <r>
      <rPr>
        <vertAlign val="subscript"/>
        <sz val="11"/>
        <color theme="1"/>
        <rFont val="Calibri"/>
        <family val="2"/>
        <scheme val="minor"/>
      </rPr>
      <t>2</t>
    </r>
    <r>
      <rPr>
        <sz val="11"/>
        <color theme="1"/>
        <rFont val="Calibri"/>
        <family val="2"/>
        <scheme val="minor"/>
      </rPr>
      <t xml:space="preserve">  → Fe</t>
    </r>
    <r>
      <rPr>
        <vertAlign val="superscript"/>
        <sz val="11"/>
        <color theme="1"/>
        <rFont val="Calibri"/>
        <family val="2"/>
        <scheme val="minor"/>
      </rPr>
      <t>2+</t>
    </r>
    <r>
      <rPr>
        <sz val="11"/>
        <color theme="1"/>
        <rFont val="Calibri"/>
        <family val="2"/>
        <scheme val="minor"/>
      </rPr>
      <t xml:space="preserve"> + 2 OH</t>
    </r>
    <r>
      <rPr>
        <vertAlign val="superscript"/>
        <sz val="11"/>
        <color theme="1"/>
        <rFont val="Calibri"/>
        <family val="2"/>
        <scheme val="minor"/>
      </rPr>
      <t>-</t>
    </r>
  </si>
  <si>
    <r>
      <t>α H</t>
    </r>
    <r>
      <rPr>
        <vertAlign val="subscript"/>
        <sz val="11"/>
        <color theme="1"/>
        <rFont val="Calibri"/>
        <family val="2"/>
        <scheme val="minor"/>
      </rPr>
      <t>2</t>
    </r>
    <r>
      <rPr>
        <sz val="11"/>
        <color theme="1"/>
        <rFont val="Calibri"/>
        <family val="2"/>
        <scheme val="minor"/>
      </rPr>
      <t>CO</t>
    </r>
    <r>
      <rPr>
        <vertAlign val="subscript"/>
        <sz val="11"/>
        <color theme="1"/>
        <rFont val="Calibri"/>
        <family val="2"/>
        <scheme val="minor"/>
      </rPr>
      <t>3</t>
    </r>
    <r>
      <rPr>
        <vertAlign val="superscript"/>
        <sz val="11"/>
        <color theme="1"/>
        <rFont val="Calibri"/>
        <family val="2"/>
        <scheme val="minor"/>
      </rPr>
      <t>*</t>
    </r>
    <r>
      <rPr>
        <sz val="11"/>
        <color theme="1"/>
        <rFont val="Calibri"/>
        <family val="2"/>
        <scheme val="minor"/>
      </rPr>
      <t xml:space="preserve"> + (1-α)H</t>
    </r>
    <r>
      <rPr>
        <vertAlign val="superscript"/>
        <sz val="11"/>
        <color theme="1"/>
        <rFont val="Calibri"/>
        <family val="2"/>
        <scheme val="minor"/>
      </rPr>
      <t>+</t>
    </r>
    <r>
      <rPr>
        <sz val="11"/>
        <color theme="1"/>
        <rFont val="Calibri"/>
        <family val="2"/>
        <scheme val="minor"/>
      </rPr>
      <t xml:space="preserve"> +(1-α)HCO</t>
    </r>
    <r>
      <rPr>
        <vertAlign val="subscript"/>
        <sz val="11"/>
        <color theme="1"/>
        <rFont val="Calibri"/>
        <family val="2"/>
        <scheme val="minor"/>
      </rPr>
      <t>3</t>
    </r>
    <r>
      <rPr>
        <vertAlign val="superscript"/>
        <sz val="11"/>
        <color theme="1"/>
        <rFont val="Calibri"/>
        <family val="2"/>
        <scheme val="minor"/>
      </rPr>
      <t xml:space="preserve">– </t>
    </r>
    <r>
      <rPr>
        <sz val="11"/>
        <color theme="1"/>
        <rFont val="Calibri"/>
        <family val="2"/>
        <scheme val="minor"/>
      </rPr>
      <t>+ 4 H</t>
    </r>
    <r>
      <rPr>
        <vertAlign val="subscript"/>
        <sz val="11"/>
        <color theme="1"/>
        <rFont val="Calibri"/>
        <family val="2"/>
        <scheme val="minor"/>
      </rPr>
      <t>2</t>
    </r>
    <r>
      <rPr>
        <sz val="11"/>
        <color theme="1"/>
        <rFont val="Calibri"/>
        <family val="2"/>
        <scheme val="minor"/>
      </rPr>
      <t xml:space="preserve"> → CH</t>
    </r>
    <r>
      <rPr>
        <vertAlign val="subscript"/>
        <sz val="11"/>
        <color theme="1"/>
        <rFont val="Calibri"/>
        <family val="2"/>
        <scheme val="minor"/>
      </rPr>
      <t>4</t>
    </r>
    <r>
      <rPr>
        <sz val="11"/>
        <color theme="1"/>
        <rFont val="Calibri"/>
        <family val="2"/>
        <scheme val="minor"/>
      </rPr>
      <t xml:space="preserve"> + 3 H</t>
    </r>
    <r>
      <rPr>
        <vertAlign val="subscript"/>
        <sz val="11"/>
        <color theme="1"/>
        <rFont val="Calibri"/>
        <family val="2"/>
        <scheme val="minor"/>
      </rPr>
      <t>2</t>
    </r>
    <r>
      <rPr>
        <sz val="11"/>
        <color theme="1"/>
        <rFont val="Calibri"/>
        <family val="2"/>
        <scheme val="minor"/>
      </rPr>
      <t>O</t>
    </r>
  </si>
  <si>
    <r>
      <t>g/cm</t>
    </r>
    <r>
      <rPr>
        <vertAlign val="superscript"/>
        <sz val="11"/>
        <color theme="1"/>
        <rFont val="Calibri"/>
        <family val="2"/>
        <scheme val="minor"/>
      </rPr>
      <t>3</t>
    </r>
  </si>
  <si>
    <r>
      <t>mL/cm</t>
    </r>
    <r>
      <rPr>
        <vertAlign val="superscript"/>
        <sz val="11"/>
        <color theme="1"/>
        <rFont val="Calibri"/>
        <family val="2"/>
        <scheme val="minor"/>
      </rPr>
      <t>3</t>
    </r>
  </si>
  <si>
    <r>
      <t>lb/ft</t>
    </r>
    <r>
      <rPr>
        <vertAlign val="superscript"/>
        <sz val="11"/>
        <color theme="1"/>
        <rFont val="Calibri"/>
        <family val="2"/>
        <scheme val="minor"/>
      </rPr>
      <t>3</t>
    </r>
  </si>
  <si>
    <r>
      <t>OH</t>
    </r>
    <r>
      <rPr>
        <vertAlign val="superscript"/>
        <sz val="11"/>
        <color theme="1"/>
        <rFont val="Calibri"/>
        <family val="2"/>
        <scheme val="minor"/>
      </rPr>
      <t>-</t>
    </r>
    <r>
      <rPr>
        <sz val="11"/>
        <color theme="1"/>
        <rFont val="Calibri"/>
        <family val="2"/>
        <scheme val="minor"/>
      </rPr>
      <t xml:space="preserve"> eq</t>
    </r>
  </si>
  <si>
    <t>Alkali Properties and Amounts</t>
  </si>
  <si>
    <t>Aquifer buffering Capacity (meq/Kg per pH unit) from multiple sites</t>
  </si>
  <si>
    <t>Site</t>
  </si>
  <si>
    <t>Depth (ft)</t>
  </si>
  <si>
    <t>Soil</t>
  </si>
  <si>
    <t>Clay</t>
  </si>
  <si>
    <t>D10</t>
  </si>
  <si>
    <t>D50</t>
  </si>
  <si>
    <t>CEC</t>
  </si>
  <si>
    <t>OM</t>
  </si>
  <si>
    <t>Initial Soil pH</t>
  </si>
  <si>
    <t>Location</t>
  </si>
  <si>
    <t xml:space="preserve">Description </t>
  </si>
  <si>
    <t>%</t>
  </si>
  <si>
    <r>
      <t>(</t>
    </r>
    <r>
      <rPr>
        <b/>
        <sz val="11"/>
        <color theme="1"/>
        <rFont val="Calibri"/>
        <family val="2"/>
      </rPr>
      <t>µm)</t>
    </r>
  </si>
  <si>
    <t>(meq/100g)</t>
  </si>
  <si>
    <t>(%)</t>
  </si>
  <si>
    <t xml:space="preserve">DI </t>
  </si>
  <si>
    <t>Greenville, NC</t>
  </si>
  <si>
    <t>grey coarse sand</t>
  </si>
  <si>
    <t>orange fine sand</t>
  </si>
  <si>
    <t>Ft. Dix - SB 13</t>
  </si>
  <si>
    <t>silt/clay</t>
  </si>
  <si>
    <t>Ft. Dix - SB 11</t>
  </si>
  <si>
    <t>sand</t>
  </si>
  <si>
    <t>Ft. Dix - SB 12</t>
  </si>
  <si>
    <t>NAS Jax Bldg 780</t>
  </si>
  <si>
    <t>fine sand</t>
  </si>
  <si>
    <t>clay/fine sand</t>
  </si>
  <si>
    <t>Orlando SA17</t>
  </si>
  <si>
    <t>Orlando SA17 SB-2</t>
  </si>
  <si>
    <t>Orlando SA17 SB-1</t>
  </si>
  <si>
    <t>Orlando OU2 SB-3</t>
  </si>
  <si>
    <t>Orlando OU2 SB-2</t>
  </si>
  <si>
    <t>Orlando OU2 SB-1</t>
  </si>
  <si>
    <t>Orlando OU2 34-37'</t>
  </si>
  <si>
    <t>Orlando OU2 37-40'</t>
  </si>
  <si>
    <t>Selma SB-69</t>
  </si>
  <si>
    <t>CS</t>
  </si>
  <si>
    <t>Selma SB-47</t>
  </si>
  <si>
    <t>Selma SB-68</t>
  </si>
  <si>
    <t>Selma SB-67</t>
  </si>
  <si>
    <t>Selma SB-48</t>
  </si>
  <si>
    <t>Selma SB-70</t>
  </si>
  <si>
    <t>Selma SB-71</t>
  </si>
  <si>
    <t>SG</t>
  </si>
  <si>
    <r>
      <t>CaCl</t>
    </r>
    <r>
      <rPr>
        <b/>
        <vertAlign val="subscript"/>
        <sz val="11"/>
        <color theme="1"/>
        <rFont val="Calibri"/>
        <family val="2"/>
        <scheme val="minor"/>
      </rPr>
      <t>2</t>
    </r>
  </si>
  <si>
    <t>pHBC (meq/Kg/pH)</t>
  </si>
  <si>
    <r>
      <t>SO</t>
    </r>
    <r>
      <rPr>
        <vertAlign val="subscript"/>
        <sz val="11"/>
        <color theme="1"/>
        <rFont val="Calibri"/>
        <family val="2"/>
        <scheme val="minor"/>
      </rPr>
      <t>4</t>
    </r>
    <r>
      <rPr>
        <vertAlign val="superscript"/>
        <sz val="11"/>
        <color theme="1"/>
        <rFont val="Calibri"/>
        <family val="2"/>
        <scheme val="minor"/>
      </rPr>
      <t>2-</t>
    </r>
    <r>
      <rPr>
        <sz val="11"/>
        <color theme="1"/>
        <rFont val="Calibri"/>
        <family val="2"/>
        <scheme val="minor"/>
      </rPr>
      <t xml:space="preserve"> + 4 H</t>
    </r>
    <r>
      <rPr>
        <vertAlign val="subscript"/>
        <sz val="11"/>
        <color theme="1"/>
        <rFont val="Calibri"/>
        <family val="2"/>
        <scheme val="minor"/>
      </rPr>
      <t>2</t>
    </r>
    <r>
      <rPr>
        <sz val="11"/>
        <color theme="1"/>
        <rFont val="Calibri"/>
        <family val="2"/>
        <scheme val="minor"/>
      </rPr>
      <t xml:space="preserve"> + Fe</t>
    </r>
    <r>
      <rPr>
        <vertAlign val="superscript"/>
        <sz val="11"/>
        <color theme="1"/>
        <rFont val="Calibri"/>
        <family val="2"/>
        <scheme val="minor"/>
      </rPr>
      <t>2+</t>
    </r>
    <r>
      <rPr>
        <sz val="11"/>
        <color theme="1"/>
        <rFont val="Calibri"/>
        <family val="2"/>
        <scheme val="minor"/>
      </rPr>
      <t xml:space="preserve"> → FeS + 4 H</t>
    </r>
    <r>
      <rPr>
        <vertAlign val="subscript"/>
        <sz val="11"/>
        <color theme="1"/>
        <rFont val="Calibri"/>
        <family val="2"/>
        <scheme val="minor"/>
      </rPr>
      <t>2</t>
    </r>
    <r>
      <rPr>
        <sz val="11"/>
        <color theme="1"/>
        <rFont val="Calibri"/>
        <family val="2"/>
        <scheme val="minor"/>
      </rPr>
      <t>O</t>
    </r>
  </si>
  <si>
    <r>
      <t>C</t>
    </r>
    <r>
      <rPr>
        <vertAlign val="subscript"/>
        <sz val="11"/>
        <color theme="1"/>
        <rFont val="Calibri"/>
        <family val="2"/>
        <scheme val="minor"/>
      </rPr>
      <t>2</t>
    </r>
    <r>
      <rPr>
        <sz val="11"/>
        <color theme="1"/>
        <rFont val="Calibri"/>
        <family val="2"/>
        <scheme val="minor"/>
      </rPr>
      <t>Cl</t>
    </r>
    <r>
      <rPr>
        <vertAlign val="subscript"/>
        <sz val="11"/>
        <color theme="1"/>
        <rFont val="Calibri"/>
        <family val="2"/>
        <scheme val="minor"/>
      </rPr>
      <t xml:space="preserve">4 </t>
    </r>
    <r>
      <rPr>
        <sz val="11"/>
        <color theme="1"/>
        <rFont val="Calibri"/>
        <family val="2"/>
        <scheme val="minor"/>
      </rPr>
      <t>+ 4 H</t>
    </r>
    <r>
      <rPr>
        <vertAlign val="subscript"/>
        <sz val="11"/>
        <color theme="1"/>
        <rFont val="Calibri"/>
        <family val="2"/>
        <scheme val="minor"/>
      </rPr>
      <t>2</t>
    </r>
    <r>
      <rPr>
        <sz val="11"/>
        <color theme="1"/>
        <rFont val="Calibri"/>
        <family val="2"/>
        <scheme val="minor"/>
      </rPr>
      <t xml:space="preserve"> → C</t>
    </r>
    <r>
      <rPr>
        <vertAlign val="subscript"/>
        <sz val="11"/>
        <color theme="1"/>
        <rFont val="Calibri"/>
        <family val="2"/>
        <scheme val="minor"/>
      </rPr>
      <t>2</t>
    </r>
    <r>
      <rPr>
        <sz val="11"/>
        <color theme="1"/>
        <rFont val="Calibri"/>
        <family val="2"/>
        <scheme val="minor"/>
      </rPr>
      <t>H</t>
    </r>
    <r>
      <rPr>
        <vertAlign val="subscript"/>
        <sz val="11"/>
        <color theme="1"/>
        <rFont val="Calibri"/>
        <family val="2"/>
        <scheme val="minor"/>
      </rPr>
      <t>4</t>
    </r>
    <r>
      <rPr>
        <sz val="11"/>
        <color theme="1"/>
        <rFont val="Calibri"/>
        <family val="2"/>
        <scheme val="minor"/>
      </rPr>
      <t xml:space="preserve"> + 4H</t>
    </r>
    <r>
      <rPr>
        <vertAlign val="superscript"/>
        <sz val="11"/>
        <color theme="1"/>
        <rFont val="Calibri"/>
        <family val="2"/>
        <scheme val="minor"/>
      </rPr>
      <t>+</t>
    </r>
    <r>
      <rPr>
        <sz val="11"/>
        <color theme="1"/>
        <rFont val="Calibri"/>
        <family val="2"/>
        <scheme val="minor"/>
      </rPr>
      <t xml:space="preserve"> + 4Cl</t>
    </r>
    <r>
      <rPr>
        <vertAlign val="superscript"/>
        <sz val="11"/>
        <color theme="1"/>
        <rFont val="Calibri"/>
        <family val="2"/>
        <scheme val="minor"/>
      </rPr>
      <t>-</t>
    </r>
  </si>
  <si>
    <t>mole</t>
  </si>
  <si>
    <t>From Electron acceptors and donors</t>
  </si>
  <si>
    <t>From Dechlorination</t>
  </si>
  <si>
    <t>From Added Substrate</t>
  </si>
  <si>
    <r>
      <t>H</t>
    </r>
    <r>
      <rPr>
        <vertAlign val="subscript"/>
        <sz val="11"/>
        <color theme="1"/>
        <rFont val="Calibri"/>
        <family val="2"/>
        <scheme val="minor"/>
      </rPr>
      <t>2</t>
    </r>
    <r>
      <rPr>
        <sz val="11"/>
        <color theme="1"/>
        <rFont val="Calibri"/>
        <family val="2"/>
        <scheme val="minor"/>
      </rPr>
      <t xml:space="preserve"> Produced</t>
    </r>
  </si>
  <si>
    <r>
      <t>H</t>
    </r>
    <r>
      <rPr>
        <vertAlign val="superscript"/>
        <sz val="11"/>
        <color theme="1"/>
        <rFont val="Calibri"/>
        <family val="2"/>
        <scheme val="minor"/>
      </rPr>
      <t>+</t>
    </r>
  </si>
  <si>
    <r>
      <t>H</t>
    </r>
    <r>
      <rPr>
        <vertAlign val="subscript"/>
        <sz val="11"/>
        <color theme="1"/>
        <rFont val="Calibri"/>
        <family val="2"/>
        <scheme val="minor"/>
      </rPr>
      <t>2</t>
    </r>
  </si>
  <si>
    <t>(mg/Kg)</t>
  </si>
  <si>
    <t>Units</t>
  </si>
  <si>
    <t>(mg/L)</t>
  </si>
  <si>
    <t>(Kg)</t>
  </si>
  <si>
    <t>GW</t>
  </si>
  <si>
    <t>GW+Soil</t>
  </si>
  <si>
    <t>Average Conc.</t>
  </si>
  <si>
    <t>Reagents</t>
  </si>
  <si>
    <t>Treated Soil:</t>
  </si>
  <si>
    <t>Total GW Vol.:</t>
  </si>
  <si>
    <t>Amount Consumed</t>
  </si>
  <si>
    <t>Base Consumed</t>
  </si>
  <si>
    <t>Magnesium Hydroxide</t>
  </si>
  <si>
    <t>Treatment Zone</t>
  </si>
  <si>
    <t>Hydraulic Retention Time:</t>
  </si>
  <si>
    <t>Mass Consumed</t>
  </si>
  <si>
    <t>Amount Added</t>
  </si>
  <si>
    <r>
      <t>Background CO</t>
    </r>
    <r>
      <rPr>
        <vertAlign val="subscript"/>
        <sz val="11"/>
        <color theme="1"/>
        <rFont val="Calibri"/>
        <family val="2"/>
        <scheme val="minor"/>
      </rPr>
      <t>2</t>
    </r>
    <r>
      <rPr>
        <sz val="11"/>
        <color theme="1"/>
        <rFont val="Calibri"/>
        <family val="2"/>
        <scheme val="minor"/>
      </rPr>
      <t xml:space="preserve"> Acidity:</t>
    </r>
  </si>
  <si>
    <r>
      <t>Background CO</t>
    </r>
    <r>
      <rPr>
        <vertAlign val="subscript"/>
        <sz val="11"/>
        <color theme="1"/>
        <rFont val="Calibri"/>
        <family val="2"/>
        <scheme val="minor"/>
      </rPr>
      <t>2</t>
    </r>
    <r>
      <rPr>
        <sz val="11"/>
        <color theme="1"/>
        <rFont val="Calibri"/>
        <family val="2"/>
        <scheme val="minor"/>
      </rPr>
      <t xml:space="preserve"> Alkalinity:</t>
    </r>
  </si>
  <si>
    <t>Total Base Demand</t>
  </si>
  <si>
    <t>Base Demand Summary</t>
  </si>
  <si>
    <t>Acidity from Dechlorination</t>
  </si>
  <si>
    <t>Acidity from Added Substrate</t>
  </si>
  <si>
    <r>
      <t>Acidity from e</t>
    </r>
    <r>
      <rPr>
        <vertAlign val="superscript"/>
        <sz val="11"/>
        <color theme="1"/>
        <rFont val="Calibri"/>
        <family val="2"/>
        <scheme val="minor"/>
      </rPr>
      <t>-</t>
    </r>
    <r>
      <rPr>
        <sz val="11"/>
        <color theme="1"/>
        <rFont val="Calibri"/>
        <family val="2"/>
        <scheme val="minor"/>
      </rPr>
      <t xml:space="preserve"> accept / donors</t>
    </r>
  </si>
  <si>
    <t>Fe(III) --&gt; Fe(II)</t>
  </si>
  <si>
    <t>Site Information</t>
  </si>
  <si>
    <t>Initial GW and Soil Concentrations</t>
  </si>
  <si>
    <t>Fraction of Base Demand Met</t>
  </si>
  <si>
    <t>Parameter</t>
  </si>
  <si>
    <t>Dissolved Inorganic Carbon:</t>
  </si>
  <si>
    <r>
      <t xml:space="preserve">This TOOL is provided free of charge for use in developing preliminary estimates of the amounts of base or alkali required to maintain a target pH during anerobic bioremeidaiton.  This TOOL is provided "as is" and "with all faults." The developers makes no representations or warranties of any kind concerning the safety, suitability, lack of viruses, inaccuracies, typographical errors, or other harmful components of this TOOL.  The developers will not be liable for any damages you may suffer in connection with using, modifying, or distributing this TOOL.  A qualified design professional should be consulted before implementing any remediation project.                                                                                                                                       For information on development of this TOOL and input parameters, see </t>
    </r>
    <r>
      <rPr>
        <b/>
        <sz val="14"/>
        <color theme="1"/>
        <rFont val="Calibri"/>
        <family val="2"/>
        <scheme val="minor"/>
      </rPr>
      <t>www.ENVIRO.wiki - Base Addition Design Tool</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</si>
</sst>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
    <numFmt numFmtId="167" formatCode="0.000"/>
  </numFmts>
  <fonts count="11" x14ac:knownFonts="1">
    <font>
      <sz val="11"/>
      <color theme="1"/>
      <name val="Calibri"/>
      <family val="2"/>
      <scheme val="minor"/>
    </font>
    <font>
      <vertAlign val="superscript"/>
      <sz val="11"/>
      <color theme="1"/>
      <name val="Calibri"/>
      <family val="2"/>
      <scheme val="minor"/>
    </font>
    <font>
      <vertAlign val="subscript"/>
      <sz val="11"/>
      <color theme="1"/>
      <name val="Calibri"/>
      <family val="2"/>
      <scheme val="minor"/>
    </font>
    <font>
      <b/>
      <sz val="11"/>
      <color theme="1"/>
      <name val="Calibri"/>
      <family val="2"/>
      <scheme val="minor"/>
    </font>
    <font>
      <b/>
      <sz val="11"/>
      <color theme="1"/>
      <name val="Calibri"/>
      <family val="2"/>
    </font>
    <font>
      <sz val="10"/>
      <name val="Arial"/>
      <family val="2"/>
    </font>
    <font>
      <b/>
      <sz val="9"/>
      <color theme="1"/>
      <name val="Calibri"/>
      <family val="2"/>
      <scheme val="minor"/>
    </font>
    <font>
      <b/>
      <vertAlign val="subscript"/>
      <sz val="11"/>
      <color theme="1"/>
      <name val="Calibri"/>
      <family val="2"/>
      <scheme val="minor"/>
    </font>
    <font>
      <b/>
      <u/>
      <sz val="11"/>
      <color theme="1"/>
      <name val="Calibri"/>
      <family val="2"/>
      <scheme val="minor"/>
    </font>
    <font>
      <sz val="9"/>
      <color indexed="81"/>
      <name val="Tahoma"/>
      <family val="2"/>
    </font>
    <font>
      <b/>
      <sz val="14"/>
      <color theme="1"/>
      <name val="Calibri"/>
      <family val="2"/>
      <scheme val="minor"/>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0" fontId="5" fillId="0" borderId="0"/>
  </cellStyleXfs>
  <cellXfs count="109">
    <xf numFmtId="0" fontId="0" fillId="0" borderId="0" xfId="0"/>
    <xf numFmtId="0" fontId="0" fillId="0" borderId="0" xfId="0" applyFont="1"/>
    <xf numFmtId="3" fontId="0" fillId="2" borderId="1" xfId="0" applyNumberFormat="1" applyFill="1" applyBorder="1" applyAlignment="1">
      <alignment horizontal="center" vertical="center"/>
    </xf>
    <xf numFmtId="164" fontId="0" fillId="2" borderId="1" xfId="0" applyNumberFormat="1" applyFont="1" applyFill="1" applyBorder="1" applyAlignment="1">
      <alignment horizontal="center" vertical="center" wrapText="1"/>
    </xf>
    <xf numFmtId="2" fontId="0" fillId="2" borderId="1" xfId="0" applyNumberFormat="1" applyFont="1" applyFill="1" applyBorder="1" applyAlignment="1">
      <alignment horizontal="center" vertical="center" wrapText="1"/>
    </xf>
    <xf numFmtId="3" fontId="0" fillId="2" borderId="1" xfId="0" applyNumberFormat="1" applyFont="1" applyFill="1" applyBorder="1" applyAlignment="1">
      <alignment horizontal="center" vertical="center" wrapText="1"/>
    </xf>
    <xf numFmtId="0" fontId="0" fillId="2" borderId="0" xfId="0" applyFont="1" applyFill="1"/>
    <xf numFmtId="0" fontId="0" fillId="2" borderId="0" xfId="0" applyFont="1" applyFill="1" applyAlignment="1">
      <alignment vertical="center"/>
    </xf>
    <xf numFmtId="0" fontId="0" fillId="2" borderId="1" xfId="0" applyFont="1" applyFill="1" applyBorder="1" applyAlignment="1">
      <alignment vertical="center" wrapText="1"/>
    </xf>
    <xf numFmtId="0" fontId="0" fillId="2" borderId="5" xfId="0" applyFont="1" applyFill="1" applyBorder="1" applyAlignment="1">
      <alignment vertical="center" wrapText="1"/>
    </xf>
    <xf numFmtId="164" fontId="0" fillId="2" borderId="5" xfId="0" applyNumberFormat="1" applyFont="1" applyFill="1" applyBorder="1" applyAlignment="1">
      <alignment horizontal="center" vertical="center" wrapText="1"/>
    </xf>
    <xf numFmtId="0" fontId="0" fillId="2" borderId="1" xfId="0" applyFont="1" applyFill="1" applyBorder="1" applyAlignment="1">
      <alignment vertical="center"/>
    </xf>
    <xf numFmtId="0" fontId="0" fillId="2" borderId="1" xfId="0" applyFont="1" applyFill="1" applyBorder="1"/>
    <xf numFmtId="3" fontId="0" fillId="2" borderId="0" xfId="0" applyNumberFormat="1" applyFill="1" applyBorder="1" applyAlignment="1">
      <alignment horizontal="center" vertical="center"/>
    </xf>
    <xf numFmtId="0" fontId="0" fillId="0" borderId="0" xfId="0"/>
    <xf numFmtId="0" fontId="0" fillId="0" borderId="0" xfId="0" applyBorder="1"/>
    <xf numFmtId="0" fontId="0" fillId="0" borderId="0" xfId="0" applyBorder="1" applyAlignment="1">
      <alignment horizontal="center"/>
    </xf>
    <xf numFmtId="164" fontId="0" fillId="0" borderId="0" xfId="0" applyNumberFormat="1" applyFill="1" applyBorder="1"/>
    <xf numFmtId="0" fontId="0" fillId="0" borderId="0" xfId="0" applyFill="1" applyBorder="1" applyAlignment="1">
      <alignment horizontal="center" vertical="center"/>
    </xf>
    <xf numFmtId="0" fontId="0" fillId="0" borderId="0" xfId="0" applyBorder="1" applyAlignment="1">
      <alignment horizontal="center" vertical="center"/>
    </xf>
    <xf numFmtId="164" fontId="0" fillId="0" borderId="0" xfId="0" applyNumberFormat="1" applyFill="1" applyBorder="1" applyAlignment="1">
      <alignment horizontal="center"/>
    </xf>
    <xf numFmtId="3" fontId="0" fillId="2" borderId="0" xfId="0" applyNumberFormat="1" applyFont="1" applyFill="1"/>
    <xf numFmtId="0" fontId="0" fillId="2" borderId="0" xfId="0" applyFill="1"/>
    <xf numFmtId="0" fontId="0" fillId="2" borderId="0" xfId="0" applyFill="1" applyBorder="1"/>
    <xf numFmtId="0" fontId="0" fillId="2" borderId="0" xfId="0" applyFill="1" applyBorder="1" applyAlignment="1">
      <alignment horizontal="center" vertical="center"/>
    </xf>
    <xf numFmtId="0" fontId="0" fillId="2" borderId="0" xfId="0" applyFill="1" applyBorder="1" applyAlignment="1">
      <alignment horizontal="center"/>
    </xf>
    <xf numFmtId="0" fontId="3" fillId="2" borderId="1" xfId="0" applyFont="1" applyFill="1" applyBorder="1" applyAlignment="1">
      <alignment horizont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2" borderId="1" xfId="0" applyFill="1" applyBorder="1" applyAlignment="1">
      <alignment horizontal="left"/>
    </xf>
    <xf numFmtId="0" fontId="0" fillId="2" borderId="1" xfId="0" applyFill="1" applyBorder="1" applyAlignment="1">
      <alignment horizontal="center" vertical="center"/>
    </xf>
    <xf numFmtId="0" fontId="0" fillId="2" borderId="1" xfId="0" applyFill="1" applyBorder="1" applyAlignment="1">
      <alignment horizontal="center"/>
    </xf>
    <xf numFmtId="164" fontId="0" fillId="2" borderId="1" xfId="0" applyNumberFormat="1" applyFill="1" applyBorder="1" applyAlignment="1">
      <alignment horizontal="center"/>
    </xf>
    <xf numFmtId="0" fontId="0" fillId="2" borderId="1" xfId="0" applyFont="1" applyFill="1" applyBorder="1" applyAlignment="1">
      <alignment horizontal="center"/>
    </xf>
    <xf numFmtId="2" fontId="0" fillId="2" borderId="1" xfId="0" applyNumberFormat="1" applyFill="1" applyBorder="1" applyAlignment="1">
      <alignment horizontal="center"/>
    </xf>
    <xf numFmtId="1" fontId="0" fillId="2" borderId="1" xfId="0" applyNumberFormat="1" applyFill="1" applyBorder="1" applyAlignment="1">
      <alignment horizontal="center" vertical="center"/>
    </xf>
    <xf numFmtId="0" fontId="0" fillId="2" borderId="1" xfId="0" applyFill="1" applyBorder="1"/>
    <xf numFmtId="164" fontId="0" fillId="2" borderId="1" xfId="0" applyNumberFormat="1" applyFont="1" applyFill="1" applyBorder="1" applyAlignment="1">
      <alignment horizontal="center"/>
    </xf>
    <xf numFmtId="1" fontId="0" fillId="2" borderId="1" xfId="0" applyNumberFormat="1" applyFont="1" applyFill="1" applyBorder="1" applyAlignment="1">
      <alignment horizontal="center"/>
    </xf>
    <xf numFmtId="1" fontId="0" fillId="2" borderId="1" xfId="0" applyNumberFormat="1" applyFill="1" applyBorder="1" applyAlignment="1">
      <alignment horizontal="center"/>
    </xf>
    <xf numFmtId="2" fontId="0" fillId="2" borderId="1" xfId="0" applyNumberFormat="1" applyFont="1" applyFill="1" applyBorder="1" applyAlignment="1">
      <alignment horizontal="center"/>
    </xf>
    <xf numFmtId="167" fontId="0" fillId="2" borderId="1" xfId="0" applyNumberFormat="1" applyFont="1" applyFill="1" applyBorder="1" applyAlignment="1">
      <alignment horizontal="center"/>
    </xf>
    <xf numFmtId="164" fontId="0" fillId="0" borderId="0" xfId="0" applyNumberFormat="1"/>
    <xf numFmtId="167" fontId="0" fillId="0" borderId="0" xfId="0" applyNumberFormat="1"/>
    <xf numFmtId="0" fontId="0" fillId="2" borderId="1" xfId="0" applyFont="1" applyFill="1" applyBorder="1" applyAlignment="1">
      <alignment horizontal="left" vertical="center" wrapText="1"/>
    </xf>
    <xf numFmtId="0" fontId="0" fillId="2" borderId="4" xfId="0" applyFont="1" applyFill="1" applyBorder="1" applyAlignment="1">
      <alignment horizontal="center" vertical="center" wrapText="1"/>
    </xf>
    <xf numFmtId="0" fontId="0" fillId="2" borderId="1" xfId="0" applyFont="1" applyFill="1" applyBorder="1" applyAlignment="1">
      <alignment horizontal="center" vertical="center" wrapText="1"/>
    </xf>
    <xf numFmtId="1" fontId="0" fillId="2" borderId="1" xfId="0" applyNumberFormat="1" applyFont="1" applyFill="1" applyBorder="1" applyAlignment="1">
      <alignment horizontal="center" vertical="center" wrapText="1"/>
    </xf>
    <xf numFmtId="3" fontId="0" fillId="0" borderId="0" xfId="0" applyNumberFormat="1" applyFill="1" applyBorder="1" applyAlignment="1">
      <alignment horizontal="center" vertical="center"/>
    </xf>
    <xf numFmtId="0" fontId="0" fillId="0" borderId="0" xfId="0" applyFill="1" applyAlignment="1">
      <alignment vertical="center"/>
    </xf>
    <xf numFmtId="3" fontId="0" fillId="0" borderId="0" xfId="0" applyNumberFormat="1" applyFill="1" applyBorder="1" applyAlignment="1">
      <alignment horizontal="left" vertical="center"/>
    </xf>
    <xf numFmtId="1" fontId="0" fillId="0" borderId="0" xfId="0" applyNumberFormat="1" applyFill="1" applyAlignment="1">
      <alignment vertical="center"/>
    </xf>
    <xf numFmtId="4" fontId="0" fillId="0" borderId="0" xfId="0" applyNumberFormat="1" applyFill="1" applyAlignment="1">
      <alignment vertical="center"/>
    </xf>
    <xf numFmtId="3" fontId="0" fillId="0" borderId="0" xfId="0" applyNumberFormat="1" applyFill="1" applyAlignment="1">
      <alignment vertical="center"/>
    </xf>
    <xf numFmtId="2" fontId="0" fillId="0" borderId="0" xfId="0" applyNumberFormat="1" applyFill="1" applyAlignment="1">
      <alignment vertical="center"/>
    </xf>
    <xf numFmtId="2" fontId="0" fillId="0" borderId="0" xfId="0" applyNumberFormat="1" applyFont="1"/>
    <xf numFmtId="9" fontId="0" fillId="0" borderId="0" xfId="0" applyNumberFormat="1" applyFill="1" applyBorder="1" applyAlignment="1">
      <alignment horizontal="center" vertical="center"/>
    </xf>
    <xf numFmtId="3" fontId="0" fillId="3" borderId="1" xfId="0" applyNumberFormat="1" applyFill="1" applyBorder="1" applyAlignment="1" applyProtection="1">
      <alignment horizontal="right" vertical="center"/>
      <protection locked="0"/>
    </xf>
    <xf numFmtId="9" fontId="0" fillId="3" borderId="1" xfId="0" applyNumberFormat="1" applyFill="1" applyBorder="1" applyAlignment="1" applyProtection="1">
      <alignment horizontal="right" vertical="center"/>
      <protection locked="0"/>
    </xf>
    <xf numFmtId="166" fontId="0" fillId="3" borderId="1" xfId="0" applyNumberFormat="1" applyFill="1" applyBorder="1" applyAlignment="1" applyProtection="1">
      <alignment horizontal="right" vertical="center"/>
      <protection locked="0"/>
    </xf>
    <xf numFmtId="4" fontId="0" fillId="3" borderId="1" xfId="0" applyNumberFormat="1" applyFill="1" applyBorder="1" applyAlignment="1" applyProtection="1">
      <alignment horizontal="right" vertical="center"/>
      <protection locked="0"/>
    </xf>
    <xf numFmtId="165" fontId="0" fillId="3" borderId="1" xfId="0" applyNumberFormat="1" applyFill="1" applyBorder="1" applyAlignment="1" applyProtection="1">
      <alignment horizontal="right" vertical="center"/>
      <protection locked="0"/>
    </xf>
    <xf numFmtId="0" fontId="0" fillId="2" borderId="0" xfId="0" applyFill="1" applyAlignment="1" applyProtection="1">
      <alignment vertical="center"/>
    </xf>
    <xf numFmtId="3" fontId="0" fillId="2" borderId="0" xfId="0" applyNumberFormat="1" applyFill="1" applyBorder="1" applyAlignment="1" applyProtection="1">
      <alignment horizontal="center" vertical="center"/>
    </xf>
    <xf numFmtId="3" fontId="0" fillId="2" borderId="1" xfId="0" applyNumberFormat="1" applyFont="1" applyFill="1" applyBorder="1" applyAlignment="1" applyProtection="1">
      <alignment horizontal="center" vertical="center" wrapText="1"/>
    </xf>
    <xf numFmtId="3" fontId="0" fillId="2" borderId="0" xfId="0" applyNumberFormat="1" applyFill="1" applyBorder="1" applyAlignment="1" applyProtection="1">
      <alignment horizontal="left" vertical="center"/>
    </xf>
    <xf numFmtId="3" fontId="8" fillId="2" borderId="0" xfId="0" applyNumberFormat="1" applyFont="1" applyFill="1" applyBorder="1" applyAlignment="1" applyProtection="1">
      <alignment horizontal="left" vertical="center"/>
    </xf>
    <xf numFmtId="3" fontId="0" fillId="2" borderId="0" xfId="0" applyNumberFormat="1" applyFill="1" applyBorder="1" applyAlignment="1" applyProtection="1">
      <alignment horizontal="right" vertical="center"/>
    </xf>
    <xf numFmtId="4" fontId="0" fillId="2" borderId="1" xfId="0" applyNumberFormat="1" applyFill="1" applyBorder="1" applyAlignment="1" applyProtection="1">
      <alignment horizontal="center" vertical="center"/>
    </xf>
    <xf numFmtId="0" fontId="0" fillId="2" borderId="1" xfId="0" applyFill="1" applyBorder="1" applyAlignment="1" applyProtection="1">
      <alignment horizontal="center" vertical="center"/>
    </xf>
    <xf numFmtId="3" fontId="0" fillId="2" borderId="3" xfId="0" applyNumberFormat="1" applyFill="1" applyBorder="1" applyAlignment="1" applyProtection="1">
      <alignment horizontal="left" vertical="center"/>
    </xf>
    <xf numFmtId="9" fontId="0" fillId="2" borderId="1" xfId="0" applyNumberFormat="1" applyFill="1" applyBorder="1" applyAlignment="1" applyProtection="1">
      <alignment horizontal="center" vertical="center"/>
    </xf>
    <xf numFmtId="3" fontId="0" fillId="2" borderId="2" xfId="0" applyNumberFormat="1" applyFill="1" applyBorder="1" applyAlignment="1" applyProtection="1">
      <alignment horizontal="left" vertical="center"/>
    </xf>
    <xf numFmtId="0" fontId="0" fillId="2" borderId="1" xfId="0" applyFont="1" applyFill="1" applyBorder="1" applyAlignment="1" applyProtection="1">
      <alignment horizontal="center" vertical="center" wrapText="1"/>
    </xf>
    <xf numFmtId="165" fontId="0" fillId="2" borderId="1" xfId="0" applyNumberFormat="1" applyFill="1" applyBorder="1" applyAlignment="1" applyProtection="1">
      <alignment horizontal="center" vertical="center"/>
    </xf>
    <xf numFmtId="3" fontId="0" fillId="2" borderId="5" xfId="0" applyNumberFormat="1" applyFill="1" applyBorder="1" applyAlignment="1" applyProtection="1">
      <alignment horizontal="center" vertical="center"/>
    </xf>
    <xf numFmtId="3" fontId="0" fillId="2" borderId="2" xfId="0" applyNumberFormat="1" applyFill="1" applyBorder="1" applyAlignment="1" applyProtection="1">
      <alignment horizontal="center" vertical="center"/>
    </xf>
    <xf numFmtId="3" fontId="8" fillId="2" borderId="1" xfId="0" applyNumberFormat="1" applyFont="1" applyFill="1" applyBorder="1" applyAlignment="1" applyProtection="1">
      <alignment horizontal="left" vertical="center"/>
    </xf>
    <xf numFmtId="3" fontId="0" fillId="2" borderId="1" xfId="0" applyNumberFormat="1" applyFill="1" applyBorder="1" applyAlignment="1" applyProtection="1">
      <alignment horizontal="left" vertical="center"/>
    </xf>
    <xf numFmtId="3" fontId="0" fillId="2" borderId="1" xfId="0" applyNumberFormat="1" applyFill="1" applyBorder="1" applyAlignment="1" applyProtection="1">
      <alignment horizontal="center" vertical="center" wrapText="1"/>
    </xf>
    <xf numFmtId="3" fontId="0" fillId="2" borderId="1" xfId="0" applyNumberFormat="1" applyFill="1" applyBorder="1" applyAlignment="1" applyProtection="1">
      <alignment horizontal="center" vertical="center"/>
    </xf>
    <xf numFmtId="165" fontId="0" fillId="0" borderId="0" xfId="0" applyNumberFormat="1" applyFill="1" applyBorder="1" applyAlignment="1">
      <alignment horizontal="center" vertical="center"/>
    </xf>
    <xf numFmtId="0" fontId="0" fillId="2" borderId="0" xfId="0" applyFill="1" applyBorder="1" applyAlignment="1"/>
    <xf numFmtId="0" fontId="0" fillId="0" borderId="0" xfId="0" applyFill="1" applyAlignment="1" applyProtection="1">
      <alignment vertical="center"/>
    </xf>
    <xf numFmtId="3" fontId="0" fillId="4" borderId="3" xfId="0" applyNumberFormat="1" applyFill="1" applyBorder="1" applyAlignment="1" applyProtection="1">
      <alignment horizontal="left" vertical="center" wrapText="1"/>
    </xf>
    <xf numFmtId="3" fontId="0" fillId="4" borderId="6" xfId="0" applyNumberFormat="1" applyFill="1" applyBorder="1" applyAlignment="1" applyProtection="1">
      <alignment horizontal="left" vertical="center" wrapText="1"/>
    </xf>
    <xf numFmtId="3" fontId="0" fillId="4" borderId="4" xfId="0" applyNumberFormat="1" applyFill="1" applyBorder="1" applyAlignment="1" applyProtection="1">
      <alignment horizontal="left" vertical="center" wrapText="1"/>
    </xf>
    <xf numFmtId="3" fontId="0" fillId="2" borderId="1" xfId="0" applyNumberFormat="1" applyFill="1" applyBorder="1" applyAlignment="1" applyProtection="1">
      <alignment horizontal="center" vertical="center" wrapText="1"/>
    </xf>
    <xf numFmtId="3" fontId="0" fillId="2" borderId="1" xfId="0" applyNumberFormat="1" applyFill="1" applyBorder="1" applyAlignment="1" applyProtection="1">
      <alignment horizontal="center" vertical="center"/>
    </xf>
    <xf numFmtId="3" fontId="0" fillId="3" borderId="1" xfId="0" applyNumberFormat="1" applyFill="1" applyBorder="1" applyAlignment="1" applyProtection="1">
      <alignment horizontal="left" vertical="center"/>
      <protection locked="0"/>
    </xf>
    <xf numFmtId="3" fontId="8" fillId="2" borderId="1" xfId="0" applyNumberFormat="1" applyFont="1" applyFill="1" applyBorder="1" applyAlignment="1" applyProtection="1">
      <alignment horizontal="left" vertical="center"/>
    </xf>
    <xf numFmtId="3" fontId="8" fillId="2" borderId="1" xfId="0" applyNumberFormat="1" applyFont="1" applyFill="1" applyBorder="1" applyAlignment="1" applyProtection="1">
      <alignment horizontal="left"/>
    </xf>
    <xf numFmtId="3" fontId="0" fillId="2" borderId="1" xfId="0" applyNumberFormat="1" applyFont="1" applyFill="1" applyBorder="1" applyAlignment="1" applyProtection="1">
      <alignment horizontal="left" vertical="center"/>
    </xf>
    <xf numFmtId="3" fontId="8" fillId="2" borderId="3" xfId="0" applyNumberFormat="1" applyFont="1" applyFill="1" applyBorder="1" applyAlignment="1" applyProtection="1">
      <alignment horizontal="left" vertical="center"/>
    </xf>
    <xf numFmtId="3" fontId="8" fillId="2" borderId="4" xfId="0" applyNumberFormat="1" applyFont="1" applyFill="1" applyBorder="1" applyAlignment="1" applyProtection="1">
      <alignment horizontal="left" vertical="center"/>
    </xf>
    <xf numFmtId="3" fontId="0" fillId="2" borderId="1" xfId="0" applyNumberFormat="1" applyFill="1" applyBorder="1" applyAlignment="1" applyProtection="1">
      <alignment horizontal="left" vertical="center"/>
    </xf>
    <xf numFmtId="0" fontId="0" fillId="2" borderId="1" xfId="0" applyFont="1" applyFill="1" applyBorder="1" applyAlignment="1">
      <alignment horizontal="left" vertical="center" wrapText="1"/>
    </xf>
    <xf numFmtId="0" fontId="0" fillId="2" borderId="1" xfId="0" applyFont="1" applyFill="1" applyBorder="1" applyAlignment="1">
      <alignment horizontal="left"/>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center" wrapText="1"/>
    </xf>
    <xf numFmtId="0" fontId="0"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9" defaultPivotStyle="PivotStyleLight16"/>
  <colors>
    <mruColors>
      <color rgb="FFF796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234950</xdr:colOff>
      <xdr:row>5</xdr:row>
      <xdr:rowOff>75304</xdr:rowOff>
    </xdr:from>
    <xdr:to>
      <xdr:col>19</xdr:col>
      <xdr:colOff>549022</xdr:colOff>
      <xdr:row>17</xdr:row>
      <xdr:rowOff>146049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6724650" y="1021454"/>
          <a:ext cx="4581272" cy="22805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8"/>
  <sheetViews>
    <sheetView tabSelected="1" topLeftCell="A4" workbookViewId="0">
      <selection activeCell="G40" sqref="G40"/>
    </sheetView>
  </sheetViews>
  <sheetFormatPr defaultColWidth="8.73046875" defaultRowHeight="14.25" x14ac:dyDescent="0.45"/>
  <cols>
    <col min="1" max="1" width="23.1328125" style="50" customWidth="1"/>
    <col min="2" max="2" width="12.1328125" style="50" customWidth="1"/>
    <col min="3" max="3" width="7.3984375" style="50" customWidth="1"/>
    <col min="4" max="4" width="11.1328125" style="50" customWidth="1"/>
    <col min="5" max="6" width="5.1328125" style="50" customWidth="1"/>
    <col min="7" max="7" width="23.86328125" style="50" customWidth="1"/>
    <col min="8" max="9" width="8.59765625" style="50" customWidth="1"/>
    <col min="10" max="10" width="12.265625" style="50" customWidth="1"/>
    <col min="11" max="12" width="8.59765625" style="50" customWidth="1"/>
    <col min="13" max="13" width="9" style="50" customWidth="1"/>
    <col min="14" max="14" width="6.3984375" style="50" customWidth="1"/>
    <col min="15" max="15" width="7" style="50" customWidth="1"/>
    <col min="16" max="16" width="6.73046875" style="50" customWidth="1"/>
    <col min="17" max="17" width="5.73046875" style="50" customWidth="1"/>
    <col min="18" max="18" width="7.265625" style="50" customWidth="1"/>
    <col min="19" max="19" width="7.59765625" style="50" customWidth="1"/>
    <col min="20" max="20" width="6.265625" style="50" customWidth="1"/>
    <col min="21" max="16384" width="8.73046875" style="50"/>
  </cols>
  <sheetData>
    <row r="1" spans="1:19" s="84" customFormat="1" ht="93" customHeight="1" x14ac:dyDescent="0.45">
      <c r="A1" s="85" t="s">
        <v>212</v>
      </c>
      <c r="B1" s="86"/>
      <c r="C1" s="86"/>
      <c r="D1" s="86"/>
      <c r="E1" s="86"/>
      <c r="F1" s="86"/>
      <c r="G1" s="86"/>
      <c r="H1" s="86"/>
      <c r="I1" s="86"/>
      <c r="J1" s="87"/>
    </row>
    <row r="2" spans="1:19" x14ac:dyDescent="0.45">
      <c r="A2" s="78" t="s">
        <v>207</v>
      </c>
      <c r="B2" s="63"/>
      <c r="C2" s="63"/>
      <c r="D2" s="63"/>
      <c r="E2" s="63"/>
      <c r="F2" s="63"/>
      <c r="G2" s="91" t="s">
        <v>208</v>
      </c>
      <c r="H2" s="91"/>
      <c r="I2" s="63"/>
      <c r="J2" s="63"/>
      <c r="L2" s="49"/>
    </row>
    <row r="3" spans="1:19" x14ac:dyDescent="0.45">
      <c r="A3" s="79" t="s">
        <v>12</v>
      </c>
      <c r="B3" s="90"/>
      <c r="C3" s="90"/>
      <c r="D3" s="90"/>
      <c r="E3" s="90"/>
      <c r="F3" s="64"/>
      <c r="G3" s="79" t="s">
        <v>188</v>
      </c>
      <c r="H3" s="80" t="s">
        <v>186</v>
      </c>
      <c r="I3" s="80" t="s">
        <v>129</v>
      </c>
      <c r="J3" s="65" t="s">
        <v>187</v>
      </c>
      <c r="L3" s="49"/>
    </row>
    <row r="4" spans="1:19" x14ac:dyDescent="0.45">
      <c r="A4" s="79" t="s">
        <v>11</v>
      </c>
      <c r="B4" s="90"/>
      <c r="C4" s="90"/>
      <c r="D4" s="90"/>
      <c r="E4" s="90"/>
      <c r="F4" s="64"/>
      <c r="G4" s="79" t="s">
        <v>183</v>
      </c>
      <c r="H4" s="80" t="s">
        <v>184</v>
      </c>
      <c r="I4" s="80" t="s">
        <v>182</v>
      </c>
      <c r="J4" s="65" t="s">
        <v>185</v>
      </c>
      <c r="L4" s="49"/>
    </row>
    <row r="5" spans="1:19" x14ac:dyDescent="0.45">
      <c r="A5" s="79" t="s">
        <v>13</v>
      </c>
      <c r="B5" s="90"/>
      <c r="C5" s="90"/>
      <c r="D5" s="90"/>
      <c r="E5" s="90"/>
      <c r="F5" s="64"/>
      <c r="G5" s="79" t="str">
        <f>'Net H+ Production'!A4</f>
        <v>PCE</v>
      </c>
      <c r="H5" s="62"/>
      <c r="I5" s="62"/>
      <c r="J5" s="81">
        <f>(H5*Info!B$24+I5*Info!B$21)/1000000</f>
        <v>0</v>
      </c>
      <c r="L5" s="49"/>
    </row>
    <row r="6" spans="1:19" x14ac:dyDescent="0.45">
      <c r="A6" s="66"/>
      <c r="B6" s="64"/>
      <c r="C6" s="64"/>
      <c r="D6" s="64"/>
      <c r="E6" s="64"/>
      <c r="F6" s="64"/>
      <c r="G6" s="79" t="str">
        <f>'Net H+ Production'!A5</f>
        <v>TCE</v>
      </c>
      <c r="H6" s="62"/>
      <c r="I6" s="62"/>
      <c r="J6" s="81">
        <f>(H6*Info!B$24+I6*Info!B$21)/1000000</f>
        <v>0</v>
      </c>
      <c r="L6" s="49"/>
    </row>
    <row r="7" spans="1:19" ht="14.1" customHeight="1" x14ac:dyDescent="0.45">
      <c r="A7" s="67" t="s">
        <v>14</v>
      </c>
      <c r="B7" s="64"/>
      <c r="C7" s="64"/>
      <c r="D7" s="64"/>
      <c r="E7" s="64"/>
      <c r="F7" s="64"/>
      <c r="G7" s="79" t="str">
        <f>'Net H+ Production'!A6</f>
        <v>DCE</v>
      </c>
      <c r="H7" s="62"/>
      <c r="I7" s="62"/>
      <c r="J7" s="81">
        <f>(H7*Info!B$24+I7*Info!B$21)/1000000</f>
        <v>0</v>
      </c>
      <c r="L7" s="49"/>
    </row>
    <row r="8" spans="1:19" x14ac:dyDescent="0.45">
      <c r="A8" s="79" t="s">
        <v>15</v>
      </c>
      <c r="B8" s="90"/>
      <c r="C8" s="90"/>
      <c r="D8" s="90"/>
      <c r="E8" s="90"/>
      <c r="F8" s="64"/>
      <c r="G8" s="79" t="str">
        <f>'Net H+ Production'!A7</f>
        <v>VC</v>
      </c>
      <c r="H8" s="62"/>
      <c r="I8" s="62"/>
      <c r="J8" s="81">
        <f>(H8*Info!B$24+I8*Info!B$21)/1000000</f>
        <v>0</v>
      </c>
      <c r="L8" s="49"/>
    </row>
    <row r="9" spans="1:19" x14ac:dyDescent="0.45">
      <c r="A9" s="79" t="s">
        <v>16</v>
      </c>
      <c r="B9" s="60"/>
      <c r="C9" s="81" t="s">
        <v>21</v>
      </c>
      <c r="D9" s="81">
        <f>B9</f>
        <v>0</v>
      </c>
      <c r="E9" s="81" t="s">
        <v>40</v>
      </c>
      <c r="F9" s="64"/>
      <c r="G9" s="79" t="str">
        <f>'Net H+ Production'!A12</f>
        <v>Oxygen</v>
      </c>
      <c r="H9" s="62"/>
      <c r="I9" s="81" t="s">
        <v>81</v>
      </c>
      <c r="J9" s="81">
        <f>(H9*Info!B$24)/1000000</f>
        <v>0</v>
      </c>
      <c r="L9" s="49"/>
    </row>
    <row r="10" spans="1:19" x14ac:dyDescent="0.45">
      <c r="A10" s="79" t="s">
        <v>17</v>
      </c>
      <c r="B10" s="61"/>
      <c r="C10" s="81" t="s">
        <v>22</v>
      </c>
      <c r="D10" s="81">
        <f>B10/0.3048</f>
        <v>0</v>
      </c>
      <c r="E10" s="81" t="s">
        <v>41</v>
      </c>
      <c r="F10" s="64"/>
      <c r="G10" s="79" t="str">
        <f>'Net H+ Production'!A13</f>
        <v>Nitrate</v>
      </c>
      <c r="H10" s="62"/>
      <c r="I10" s="81" t="s">
        <v>81</v>
      </c>
      <c r="J10" s="81">
        <f>(H10*Info!B$24)/1000000</f>
        <v>0</v>
      </c>
      <c r="L10" s="49"/>
    </row>
    <row r="11" spans="1:19" ht="15.75" x14ac:dyDescent="0.45">
      <c r="A11" s="79" t="s">
        <v>18</v>
      </c>
      <c r="B11" s="61"/>
      <c r="C11" s="81" t="s">
        <v>121</v>
      </c>
      <c r="D11" s="81"/>
      <c r="E11" s="81"/>
      <c r="F11" s="64"/>
      <c r="G11" s="79" t="s">
        <v>206</v>
      </c>
      <c r="H11" s="62"/>
      <c r="I11" s="62"/>
      <c r="J11" s="81">
        <f>(H11*Info!B$24+I11*Info!B$21)/1000000</f>
        <v>0</v>
      </c>
      <c r="L11" s="49"/>
    </row>
    <row r="12" spans="1:19" ht="15.75" x14ac:dyDescent="0.45">
      <c r="A12" s="79" t="s">
        <v>19</v>
      </c>
      <c r="B12" s="61"/>
      <c r="C12" s="81" t="s">
        <v>122</v>
      </c>
      <c r="D12" s="81"/>
      <c r="E12" s="81"/>
      <c r="F12" s="64"/>
      <c r="G12" s="79" t="str">
        <f>'Net H+ Production'!A15</f>
        <v>Sulfate</v>
      </c>
      <c r="H12" s="62"/>
      <c r="I12" s="81" t="s">
        <v>81</v>
      </c>
      <c r="J12" s="81">
        <f>(H12*Info!B$24)/1000000</f>
        <v>0</v>
      </c>
      <c r="K12" s="49"/>
      <c r="L12" s="49"/>
    </row>
    <row r="13" spans="1:19" ht="15.6" customHeight="1" x14ac:dyDescent="0.45">
      <c r="A13" s="79" t="s">
        <v>20</v>
      </c>
      <c r="B13" s="69">
        <f>(1-B12)*B11</f>
        <v>0</v>
      </c>
      <c r="C13" s="81" t="s">
        <v>121</v>
      </c>
      <c r="D13" s="81">
        <f>B13*28.3168*2.2</f>
        <v>0</v>
      </c>
      <c r="E13" s="81" t="s">
        <v>123</v>
      </c>
      <c r="F13" s="64"/>
      <c r="G13" s="66"/>
      <c r="H13" s="68"/>
      <c r="I13" s="64"/>
      <c r="J13" s="64"/>
      <c r="K13" s="57"/>
      <c r="L13" s="49"/>
    </row>
    <row r="14" spans="1:19" ht="15.6" customHeight="1" x14ac:dyDescent="0.45">
      <c r="A14" s="66"/>
      <c r="B14" s="64"/>
      <c r="C14" s="64"/>
      <c r="D14" s="64"/>
      <c r="E14" s="64"/>
      <c r="F14" s="64"/>
      <c r="G14" s="92" t="s">
        <v>189</v>
      </c>
      <c r="H14" s="89" t="s">
        <v>198</v>
      </c>
      <c r="I14" s="89"/>
      <c r="J14" s="88" t="s">
        <v>192</v>
      </c>
      <c r="K14" s="49"/>
      <c r="L14" s="49"/>
    </row>
    <row r="15" spans="1:19" ht="17.100000000000001" customHeight="1" x14ac:dyDescent="0.45">
      <c r="A15" s="78" t="s">
        <v>195</v>
      </c>
      <c r="B15" s="64"/>
      <c r="C15" s="64"/>
      <c r="D15" s="64"/>
      <c r="E15" s="64"/>
      <c r="F15" s="64"/>
      <c r="G15" s="92"/>
      <c r="H15" s="70" t="s">
        <v>5</v>
      </c>
      <c r="I15" s="70" t="s">
        <v>83</v>
      </c>
      <c r="J15" s="88"/>
      <c r="K15" s="49"/>
      <c r="L15" s="49"/>
      <c r="O15" s="49"/>
      <c r="P15" s="49"/>
      <c r="Q15" s="49"/>
      <c r="R15" s="49"/>
      <c r="S15" s="49"/>
    </row>
    <row r="16" spans="1:19" x14ac:dyDescent="0.45">
      <c r="A16" s="73" t="s">
        <v>44</v>
      </c>
      <c r="B16" s="62"/>
      <c r="C16" s="81" t="s">
        <v>35</v>
      </c>
      <c r="D16" s="64"/>
      <c r="E16" s="64"/>
      <c r="F16" s="64"/>
      <c r="G16" s="71" t="s">
        <v>64</v>
      </c>
      <c r="H16" s="81">
        <f>I16/2.2</f>
        <v>0</v>
      </c>
      <c r="I16" s="62"/>
      <c r="J16" s="72">
        <v>1</v>
      </c>
      <c r="K16" s="49"/>
      <c r="L16" s="49"/>
      <c r="O16" s="49"/>
      <c r="P16" s="49"/>
      <c r="Q16" s="49"/>
    </row>
    <row r="17" spans="1:16" x14ac:dyDescent="0.45">
      <c r="A17" s="79" t="s">
        <v>29</v>
      </c>
      <c r="B17" s="62"/>
      <c r="C17" s="81" t="s">
        <v>9</v>
      </c>
      <c r="D17" s="81">
        <f>3.28084*B17</f>
        <v>0</v>
      </c>
      <c r="E17" s="81" t="s">
        <v>6</v>
      </c>
      <c r="F17" s="64"/>
      <c r="G17" s="71" t="s">
        <v>36</v>
      </c>
      <c r="H17" s="81">
        <f>I17/2.2</f>
        <v>0</v>
      </c>
      <c r="I17" s="62"/>
      <c r="J17" s="72">
        <v>1</v>
      </c>
      <c r="K17" s="49"/>
      <c r="L17" s="49"/>
    </row>
    <row r="18" spans="1:16" x14ac:dyDescent="0.45">
      <c r="A18" s="79" t="s">
        <v>30</v>
      </c>
      <c r="B18" s="62"/>
      <c r="C18" s="81" t="s">
        <v>9</v>
      </c>
      <c r="D18" s="81">
        <f>3.28084*B18</f>
        <v>0</v>
      </c>
      <c r="E18" s="81" t="s">
        <v>6</v>
      </c>
      <c r="F18" s="64"/>
      <c r="G18" s="71" t="s">
        <v>65</v>
      </c>
      <c r="H18" s="81">
        <f>I18/2.2</f>
        <v>0</v>
      </c>
      <c r="I18" s="62"/>
      <c r="J18" s="72">
        <v>1</v>
      </c>
      <c r="K18" s="49"/>
      <c r="L18" s="49"/>
    </row>
    <row r="19" spans="1:16" x14ac:dyDescent="0.45">
      <c r="A19" s="79" t="s">
        <v>31</v>
      </c>
      <c r="B19" s="62"/>
      <c r="C19" s="81" t="s">
        <v>9</v>
      </c>
      <c r="D19" s="81">
        <f>3.28084*B19</f>
        <v>0</v>
      </c>
      <c r="E19" s="81" t="s">
        <v>6</v>
      </c>
      <c r="F19" s="64"/>
      <c r="G19" s="71" t="s">
        <v>66</v>
      </c>
      <c r="H19" s="81">
        <f>I19/2.2</f>
        <v>0</v>
      </c>
      <c r="I19" s="62"/>
      <c r="J19" s="59">
        <v>0.5</v>
      </c>
      <c r="K19" s="49"/>
      <c r="L19" s="49"/>
    </row>
    <row r="20" spans="1:16" ht="15.75" x14ac:dyDescent="0.45">
      <c r="A20" s="79" t="s">
        <v>32</v>
      </c>
      <c r="B20" s="81">
        <f>B17*B18*B19</f>
        <v>0</v>
      </c>
      <c r="C20" s="81" t="s">
        <v>38</v>
      </c>
      <c r="D20" s="81">
        <f>D17*D18*D19</f>
        <v>0</v>
      </c>
      <c r="E20" s="81" t="s">
        <v>39</v>
      </c>
      <c r="F20" s="64"/>
      <c r="G20" s="71" t="s">
        <v>52</v>
      </c>
      <c r="H20" s="81">
        <f t="shared" ref="H20:H25" si="0">I20/2.2</f>
        <v>0</v>
      </c>
      <c r="I20" s="62"/>
      <c r="J20" s="72">
        <v>1</v>
      </c>
      <c r="K20" s="82"/>
      <c r="L20" s="49"/>
      <c r="M20" s="52"/>
      <c r="N20" s="52"/>
      <c r="O20" s="52"/>
      <c r="P20" s="52"/>
    </row>
    <row r="21" spans="1:16" x14ac:dyDescent="0.45">
      <c r="A21" s="79" t="s">
        <v>190</v>
      </c>
      <c r="B21" s="81">
        <f>1000*B20*B13</f>
        <v>0</v>
      </c>
      <c r="C21" s="81" t="s">
        <v>5</v>
      </c>
      <c r="D21" s="81">
        <f>D20*D13</f>
        <v>0</v>
      </c>
      <c r="E21" s="81" t="s">
        <v>83</v>
      </c>
      <c r="F21" s="64"/>
      <c r="G21" s="71" t="s">
        <v>54</v>
      </c>
      <c r="H21" s="81">
        <f t="shared" si="0"/>
        <v>0</v>
      </c>
      <c r="I21" s="62"/>
      <c r="J21" s="72">
        <v>1</v>
      </c>
      <c r="K21" s="49"/>
      <c r="L21" s="49"/>
      <c r="M21" s="52"/>
      <c r="N21" s="52"/>
      <c r="O21" s="52"/>
      <c r="P21" s="52"/>
    </row>
    <row r="22" spans="1:16" x14ac:dyDescent="0.45">
      <c r="A22" s="79" t="s">
        <v>33</v>
      </c>
      <c r="B22" s="81">
        <f>B20*B12*1000</f>
        <v>0</v>
      </c>
      <c r="C22" s="81" t="s">
        <v>7</v>
      </c>
      <c r="D22" s="81">
        <f>B22/3.7854</f>
        <v>0</v>
      </c>
      <c r="E22" s="81" t="s">
        <v>42</v>
      </c>
      <c r="F22" s="64"/>
      <c r="G22" s="71" t="s">
        <v>56</v>
      </c>
      <c r="H22" s="81">
        <f t="shared" si="0"/>
        <v>0</v>
      </c>
      <c r="I22" s="62"/>
      <c r="J22" s="72">
        <v>1</v>
      </c>
      <c r="K22" s="82"/>
      <c r="L22" s="49"/>
      <c r="M22" s="52"/>
      <c r="N22" s="52"/>
      <c r="O22" s="52"/>
      <c r="P22" s="52"/>
    </row>
    <row r="23" spans="1:16" x14ac:dyDescent="0.45">
      <c r="A23" s="79" t="s">
        <v>34</v>
      </c>
      <c r="B23" s="81">
        <f>B17*B19*B10*B9*1000*365</f>
        <v>0</v>
      </c>
      <c r="C23" s="81" t="s">
        <v>10</v>
      </c>
      <c r="D23" s="81" t="e">
        <f>D22/B25</f>
        <v>#DIV/0!</v>
      </c>
      <c r="E23" s="81" t="s">
        <v>43</v>
      </c>
      <c r="F23" s="64"/>
      <c r="G23" s="71" t="s">
        <v>58</v>
      </c>
      <c r="H23" s="81">
        <f t="shared" si="0"/>
        <v>0</v>
      </c>
      <c r="I23" s="62"/>
      <c r="J23" s="72">
        <v>1</v>
      </c>
      <c r="K23" s="82"/>
      <c r="L23" s="49"/>
      <c r="M23" s="52"/>
      <c r="N23" s="52"/>
      <c r="O23" s="52"/>
      <c r="P23" s="52"/>
    </row>
    <row r="24" spans="1:16" x14ac:dyDescent="0.45">
      <c r="A24" s="79" t="s">
        <v>191</v>
      </c>
      <c r="B24" s="81">
        <f>B23*B16+B22</f>
        <v>0</v>
      </c>
      <c r="C24" s="81" t="s">
        <v>7</v>
      </c>
      <c r="D24" s="81">
        <f>B24/3.7854</f>
        <v>0</v>
      </c>
      <c r="E24" s="81" t="s">
        <v>42</v>
      </c>
      <c r="F24" s="64"/>
      <c r="G24" s="71" t="s">
        <v>60</v>
      </c>
      <c r="H24" s="81">
        <f t="shared" si="0"/>
        <v>0</v>
      </c>
      <c r="I24" s="62"/>
      <c r="J24" s="59">
        <v>1</v>
      </c>
      <c r="K24" s="82"/>
      <c r="L24" s="49"/>
      <c r="M24" s="52"/>
      <c r="N24" s="52"/>
      <c r="O24" s="52"/>
      <c r="P24" s="52"/>
    </row>
    <row r="25" spans="1:16" x14ac:dyDescent="0.45">
      <c r="A25" s="79" t="s">
        <v>196</v>
      </c>
      <c r="B25" s="69" t="e">
        <f>B22/B23</f>
        <v>#DIV/0!</v>
      </c>
      <c r="C25" s="81" t="s">
        <v>35</v>
      </c>
      <c r="D25" s="81"/>
      <c r="E25" s="81"/>
      <c r="F25" s="64"/>
      <c r="G25" s="71" t="s">
        <v>194</v>
      </c>
      <c r="H25" s="81">
        <f t="shared" si="0"/>
        <v>0</v>
      </c>
      <c r="I25" s="62"/>
      <c r="J25" s="59">
        <v>1</v>
      </c>
      <c r="K25" s="82"/>
      <c r="L25" s="49"/>
      <c r="M25" s="52"/>
      <c r="N25" s="52"/>
      <c r="O25" s="52"/>
      <c r="P25" s="52"/>
    </row>
    <row r="26" spans="1:16" x14ac:dyDescent="0.45">
      <c r="A26" s="66"/>
      <c r="B26" s="64"/>
      <c r="C26" s="64"/>
      <c r="D26" s="64"/>
      <c r="E26" s="64"/>
      <c r="F26" s="64"/>
      <c r="G26" s="64"/>
      <c r="H26" s="64"/>
      <c r="I26" s="64"/>
      <c r="J26" s="64"/>
      <c r="K26" s="82"/>
      <c r="L26" s="49"/>
      <c r="M26" s="52"/>
      <c r="N26" s="52"/>
      <c r="O26" s="52"/>
      <c r="P26" s="52"/>
    </row>
    <row r="27" spans="1:16" ht="15.75" x14ac:dyDescent="0.45">
      <c r="A27" s="78" t="s">
        <v>23</v>
      </c>
      <c r="B27" s="64"/>
      <c r="C27" s="64"/>
      <c r="D27" s="64"/>
      <c r="E27" s="64"/>
      <c r="F27" s="64"/>
      <c r="G27" s="94" t="s">
        <v>202</v>
      </c>
      <c r="H27" s="95"/>
      <c r="I27" s="81" t="s">
        <v>124</v>
      </c>
      <c r="J27" s="64"/>
      <c r="K27" s="82"/>
      <c r="M27" s="52"/>
      <c r="N27" s="52"/>
      <c r="O27" s="52"/>
      <c r="P27" s="52"/>
    </row>
    <row r="28" spans="1:16" x14ac:dyDescent="0.45">
      <c r="A28" s="79" t="s">
        <v>85</v>
      </c>
      <c r="B28" s="62"/>
      <c r="C28" s="81" t="s">
        <v>27</v>
      </c>
      <c r="D28" s="74" t="s">
        <v>72</v>
      </c>
      <c r="E28" s="69">
        <f>(1-(1/(1+(10^(6.352-B28)))))</f>
        <v>0.99999955536893026</v>
      </c>
      <c r="F28" s="64"/>
      <c r="G28" s="96" t="s">
        <v>82</v>
      </c>
      <c r="H28" s="96"/>
      <c r="I28" s="81">
        <f>B34*B24/1000</f>
        <v>0</v>
      </c>
      <c r="J28" s="64"/>
      <c r="K28" s="82"/>
      <c r="M28" s="52"/>
      <c r="N28" s="52"/>
      <c r="O28" s="52"/>
      <c r="P28" s="52"/>
    </row>
    <row r="29" spans="1:16" x14ac:dyDescent="0.45">
      <c r="A29" s="79" t="s">
        <v>24</v>
      </c>
      <c r="B29" s="62"/>
      <c r="C29" s="81" t="s">
        <v>27</v>
      </c>
      <c r="D29" s="74" t="s">
        <v>72</v>
      </c>
      <c r="E29" s="69">
        <f>(1-(1/(1+(10^(6.352-B29)))))</f>
        <v>0.99999955536893026</v>
      </c>
      <c r="F29" s="64"/>
      <c r="G29" s="96" t="str">
        <f>A36</f>
        <v>Base to raise starting pH</v>
      </c>
      <c r="H29" s="96"/>
      <c r="I29" s="81">
        <f>B36</f>
        <v>0</v>
      </c>
      <c r="J29" s="64"/>
      <c r="K29" s="82"/>
      <c r="M29" s="52"/>
      <c r="N29" s="52"/>
      <c r="O29" s="52"/>
      <c r="P29" s="52"/>
    </row>
    <row r="30" spans="1:16" x14ac:dyDescent="0.45">
      <c r="A30" s="79" t="s">
        <v>211</v>
      </c>
      <c r="B30" s="58"/>
      <c r="C30" s="81" t="s">
        <v>8</v>
      </c>
      <c r="D30" s="64"/>
      <c r="E30" s="64"/>
      <c r="F30" s="64"/>
      <c r="G30" s="96" t="s">
        <v>203</v>
      </c>
      <c r="H30" s="96"/>
      <c r="I30" s="81">
        <f>'Net H+ Production'!K18</f>
        <v>0</v>
      </c>
      <c r="J30" s="63"/>
      <c r="K30" s="82"/>
      <c r="M30" s="52"/>
      <c r="N30" s="52"/>
      <c r="O30" s="52"/>
      <c r="P30" s="52"/>
    </row>
    <row r="31" spans="1:16" ht="15.75" x14ac:dyDescent="0.45">
      <c r="A31" s="79" t="s">
        <v>199</v>
      </c>
      <c r="B31" s="75">
        <f>IF(B29&lt;B28,(B30/12)*(E29-E28),0)</f>
        <v>0</v>
      </c>
      <c r="C31" s="81" t="s">
        <v>28</v>
      </c>
      <c r="D31" s="64"/>
      <c r="E31" s="64"/>
      <c r="F31" s="63"/>
      <c r="G31" s="96" t="s">
        <v>204</v>
      </c>
      <c r="H31" s="96"/>
      <c r="I31" s="81">
        <f>'Net H+ Production'!K19</f>
        <v>0</v>
      </c>
      <c r="J31" s="63"/>
      <c r="K31" s="82"/>
      <c r="M31" s="52"/>
      <c r="N31" s="52"/>
      <c r="O31" s="52"/>
      <c r="P31" s="52"/>
    </row>
    <row r="32" spans="1:16" ht="15.75" x14ac:dyDescent="0.45">
      <c r="A32" s="79" t="s">
        <v>200</v>
      </c>
      <c r="B32" s="75">
        <f>IF(B29&gt;B28,(-B30/12)*(E29-E28),0)</f>
        <v>0</v>
      </c>
      <c r="C32" s="81" t="s">
        <v>28</v>
      </c>
      <c r="D32" s="64"/>
      <c r="E32" s="64"/>
      <c r="F32" s="63"/>
      <c r="G32" s="96" t="s">
        <v>205</v>
      </c>
      <c r="H32" s="96"/>
      <c r="I32" s="81">
        <f>'Net H+ Production'!K20</f>
        <v>0</v>
      </c>
      <c r="J32" s="63"/>
      <c r="K32" s="82"/>
      <c r="M32" s="52"/>
      <c r="N32" s="52"/>
      <c r="O32" s="52"/>
      <c r="P32" s="52"/>
    </row>
    <row r="33" spans="1:19" x14ac:dyDescent="0.45">
      <c r="A33" s="79" t="s">
        <v>37</v>
      </c>
      <c r="B33" s="62"/>
      <c r="C33" s="81" t="s">
        <v>28</v>
      </c>
      <c r="D33" s="64"/>
      <c r="E33" s="64"/>
      <c r="F33" s="63"/>
      <c r="G33" s="96" t="s">
        <v>201</v>
      </c>
      <c r="H33" s="96"/>
      <c r="I33" s="81">
        <f>SUM(I28:I32)</f>
        <v>0</v>
      </c>
      <c r="J33" s="63"/>
      <c r="K33" s="82"/>
      <c r="M33" s="52"/>
      <c r="N33" s="52"/>
      <c r="O33" s="52"/>
      <c r="P33" s="52"/>
    </row>
    <row r="34" spans="1:19" ht="14.45" customHeight="1" x14ac:dyDescent="0.45">
      <c r="A34" s="79" t="s">
        <v>84</v>
      </c>
      <c r="B34" s="81">
        <f>B33+B31-B32</f>
        <v>0</v>
      </c>
      <c r="C34" s="76" t="s">
        <v>28</v>
      </c>
      <c r="D34" s="64"/>
      <c r="E34" s="64"/>
      <c r="F34" s="63"/>
      <c r="G34" s="96" t="s">
        <v>87</v>
      </c>
      <c r="H34" s="96"/>
      <c r="I34" s="81">
        <f>'Alkali Properties'!I14</f>
        <v>0</v>
      </c>
      <c r="J34" s="63"/>
      <c r="K34" s="82"/>
      <c r="M34" s="52"/>
      <c r="N34" s="52"/>
      <c r="O34" s="52"/>
      <c r="P34" s="52"/>
    </row>
    <row r="35" spans="1:19" x14ac:dyDescent="0.45">
      <c r="A35" s="79" t="s">
        <v>25</v>
      </c>
      <c r="B35" s="62"/>
      <c r="C35" s="93" t="s">
        <v>26</v>
      </c>
      <c r="D35" s="93"/>
      <c r="E35" s="64"/>
      <c r="F35" s="63"/>
      <c r="G35" s="96" t="s">
        <v>209</v>
      </c>
      <c r="H35" s="96"/>
      <c r="I35" s="72" t="e">
        <f>I34/I33</f>
        <v>#DIV/0!</v>
      </c>
      <c r="J35" s="63"/>
      <c r="K35" s="82"/>
    </row>
    <row r="36" spans="1:19" ht="15.75" x14ac:dyDescent="0.45">
      <c r="A36" s="79" t="s">
        <v>86</v>
      </c>
      <c r="B36" s="81">
        <f>(B28-B29)*B35*B21/1000</f>
        <v>0</v>
      </c>
      <c r="C36" s="77" t="s">
        <v>124</v>
      </c>
      <c r="D36" s="64"/>
      <c r="E36" s="64"/>
      <c r="F36" s="63"/>
      <c r="G36" s="63"/>
      <c r="H36" s="63"/>
      <c r="I36" s="63"/>
      <c r="J36" s="63"/>
      <c r="L36" s="49"/>
    </row>
    <row r="37" spans="1:19" x14ac:dyDescent="0.45">
      <c r="L37" s="49"/>
    </row>
    <row r="38" spans="1:19" x14ac:dyDescent="0.45">
      <c r="G38" s="49"/>
      <c r="H38" s="49"/>
      <c r="I38" s="49"/>
      <c r="J38" s="49"/>
      <c r="L38" s="49"/>
      <c r="M38" s="51"/>
      <c r="N38" s="49"/>
      <c r="O38" s="49"/>
      <c r="P38" s="49"/>
      <c r="Q38" s="49"/>
      <c r="R38" s="49"/>
      <c r="S38" s="49"/>
    </row>
    <row r="39" spans="1:19" x14ac:dyDescent="0.45">
      <c r="G39" s="49"/>
      <c r="H39" s="49"/>
      <c r="I39" s="49"/>
      <c r="J39" s="49"/>
      <c r="K39" s="49"/>
      <c r="L39" s="49"/>
      <c r="R39" s="49"/>
      <c r="S39" s="49"/>
    </row>
    <row r="40" spans="1:19" x14ac:dyDescent="0.45">
      <c r="G40" s="49"/>
      <c r="H40" s="49"/>
      <c r="I40" s="49"/>
      <c r="J40" s="49"/>
      <c r="K40" s="49"/>
      <c r="L40" s="49"/>
      <c r="R40" s="49"/>
      <c r="S40" s="49"/>
    </row>
    <row r="41" spans="1:19" ht="14.45" customHeight="1" x14ac:dyDescent="0.45">
      <c r="G41" s="49"/>
      <c r="H41" s="49"/>
      <c r="I41" s="49"/>
      <c r="J41" s="49"/>
      <c r="K41" s="49"/>
      <c r="L41" s="49"/>
      <c r="R41" s="49"/>
      <c r="S41" s="49"/>
    </row>
    <row r="42" spans="1:19" ht="15.95" customHeight="1" x14ac:dyDescent="0.45">
      <c r="G42" s="49"/>
      <c r="H42" s="49"/>
      <c r="I42" s="49"/>
      <c r="J42" s="49"/>
      <c r="K42" s="49"/>
      <c r="L42" s="49"/>
      <c r="R42" s="49"/>
      <c r="S42" s="49"/>
    </row>
    <row r="43" spans="1:19" ht="15" customHeight="1" x14ac:dyDescent="0.45">
      <c r="G43" s="49"/>
      <c r="H43" s="49"/>
      <c r="I43" s="49"/>
      <c r="J43" s="49"/>
      <c r="K43" s="49"/>
      <c r="L43" s="49"/>
      <c r="R43" s="49"/>
      <c r="S43" s="49"/>
    </row>
    <row r="44" spans="1:19" x14ac:dyDescent="0.45">
      <c r="G44" s="49"/>
      <c r="H44" s="49"/>
      <c r="I44" s="49"/>
      <c r="J44" s="49"/>
      <c r="K44" s="49"/>
      <c r="L44" s="49"/>
      <c r="R44" s="49"/>
      <c r="S44" s="49"/>
    </row>
    <row r="45" spans="1:19" x14ac:dyDescent="0.45">
      <c r="G45" s="49"/>
      <c r="H45" s="49"/>
      <c r="I45" s="49"/>
      <c r="J45" s="49"/>
      <c r="K45" s="49"/>
      <c r="L45" s="49"/>
      <c r="R45" s="49"/>
      <c r="S45" s="49"/>
    </row>
    <row r="46" spans="1:19" x14ac:dyDescent="0.45">
      <c r="G46" s="49"/>
      <c r="H46" s="49"/>
      <c r="I46" s="49"/>
      <c r="J46" s="49"/>
      <c r="K46" s="49"/>
      <c r="L46" s="49"/>
      <c r="R46" s="49"/>
      <c r="S46" s="49"/>
    </row>
    <row r="47" spans="1:19" ht="14.45" customHeight="1" x14ac:dyDescent="0.45">
      <c r="G47" s="49"/>
      <c r="H47" s="49"/>
      <c r="I47" s="49"/>
      <c r="J47" s="49"/>
      <c r="K47" s="49"/>
      <c r="L47" s="49"/>
      <c r="R47" s="49"/>
      <c r="S47" s="49"/>
    </row>
    <row r="48" spans="1:19" x14ac:dyDescent="0.45">
      <c r="G48" s="49"/>
      <c r="H48" s="49"/>
      <c r="I48" s="49"/>
      <c r="J48" s="49"/>
      <c r="K48" s="49"/>
      <c r="L48" s="49"/>
      <c r="R48" s="49"/>
      <c r="S48" s="49"/>
    </row>
    <row r="49" spans="2:19" ht="14.45" customHeight="1" x14ac:dyDescent="0.45">
      <c r="E49" s="49"/>
      <c r="G49" s="49"/>
      <c r="H49" s="49"/>
      <c r="I49" s="49"/>
      <c r="J49" s="49"/>
      <c r="K49" s="49"/>
      <c r="L49" s="49"/>
      <c r="R49" s="49"/>
      <c r="S49" s="49"/>
    </row>
    <row r="50" spans="2:19" ht="14.45" customHeight="1" x14ac:dyDescent="0.45">
      <c r="E50" s="49"/>
      <c r="G50" s="49"/>
      <c r="H50" s="49"/>
      <c r="I50" s="49"/>
      <c r="J50" s="49"/>
      <c r="K50" s="49"/>
      <c r="L50" s="49"/>
    </row>
    <row r="51" spans="2:19" x14ac:dyDescent="0.45">
      <c r="E51" s="49"/>
      <c r="G51" s="49"/>
      <c r="H51" s="49"/>
      <c r="I51" s="49"/>
      <c r="J51" s="49"/>
      <c r="K51" s="49"/>
      <c r="L51" s="49"/>
    </row>
    <row r="52" spans="2:19" x14ac:dyDescent="0.45">
      <c r="E52" s="49"/>
      <c r="G52" s="49"/>
      <c r="H52" s="49"/>
      <c r="I52" s="49"/>
      <c r="J52" s="49"/>
      <c r="K52" s="49"/>
      <c r="L52" s="49"/>
    </row>
    <row r="53" spans="2:19" x14ac:dyDescent="0.45">
      <c r="F53" s="49"/>
      <c r="G53" s="49"/>
      <c r="H53" s="49"/>
      <c r="I53" s="49"/>
      <c r="J53" s="49"/>
      <c r="K53" s="49"/>
      <c r="L53" s="49"/>
    </row>
    <row r="54" spans="2:19" ht="14.45" customHeight="1" x14ac:dyDescent="0.45">
      <c r="B54" s="52"/>
      <c r="C54" s="53"/>
      <c r="D54" s="54"/>
      <c r="E54" s="55"/>
      <c r="F54" s="49"/>
      <c r="G54" s="49"/>
      <c r="H54" s="49"/>
      <c r="I54" s="49"/>
      <c r="J54" s="49"/>
      <c r="K54" s="49"/>
      <c r="L54" s="49"/>
    </row>
    <row r="55" spans="2:19" x14ac:dyDescent="0.45">
      <c r="D55" s="54"/>
      <c r="E55" s="55"/>
      <c r="F55" s="49"/>
      <c r="K55" s="49"/>
      <c r="L55" s="49"/>
    </row>
    <row r="56" spans="2:19" x14ac:dyDescent="0.45">
      <c r="D56" s="54"/>
      <c r="F56" s="49"/>
    </row>
    <row r="57" spans="2:19" x14ac:dyDescent="0.45">
      <c r="D57" s="54"/>
      <c r="E57" s="55"/>
    </row>
    <row r="58" spans="2:19" x14ac:dyDescent="0.45">
      <c r="D58" s="54"/>
      <c r="E58" s="55"/>
    </row>
  </sheetData>
  <sheetProtection algorithmName="SHA-512" hashValue="RGelyBal4N11zV+90gijkM10rncktevm+dZtsVyg/Fojzc6FpxWwh7GPSNSH3PZllcNPdNV6DcRDI7hg8tIJRQ==" saltValue="Z5VCc4p0jN5aK5a1bJyhtw==" spinCount="100000" sheet="1" objects="1" scenarios="1"/>
  <mergeCells count="19">
    <mergeCell ref="C35:D35"/>
    <mergeCell ref="G27:H27"/>
    <mergeCell ref="G28:H28"/>
    <mergeCell ref="G29:H29"/>
    <mergeCell ref="G30:H30"/>
    <mergeCell ref="G31:H31"/>
    <mergeCell ref="G32:H32"/>
    <mergeCell ref="G33:H33"/>
    <mergeCell ref="G34:H34"/>
    <mergeCell ref="G35:H35"/>
    <mergeCell ref="A1:J1"/>
    <mergeCell ref="J14:J15"/>
    <mergeCell ref="H14:I14"/>
    <mergeCell ref="B8:E8"/>
    <mergeCell ref="B3:E3"/>
    <mergeCell ref="B4:E4"/>
    <mergeCell ref="B5:E5"/>
    <mergeCell ref="G2:H2"/>
    <mergeCell ref="G14:G15"/>
  </mergeCells>
  <pageMargins left="0.7" right="0.7" top="0.75" bottom="0.75" header="0.3" footer="0.3"/>
  <pageSetup orientation="portrait" horizontalDpi="0"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I14"/>
  <sheetViews>
    <sheetView workbookViewId="0">
      <selection activeCell="E10" sqref="E10"/>
    </sheetView>
  </sheetViews>
  <sheetFormatPr defaultColWidth="8.73046875" defaultRowHeight="14.25" x14ac:dyDescent="0.45"/>
  <cols>
    <col min="1" max="1" width="21.3984375" style="1" customWidth="1"/>
    <col min="2" max="2" width="12.1328125" style="1" customWidth="1"/>
    <col min="3" max="3" width="8.73046875" style="1"/>
    <col min="4" max="4" width="9.73046875" style="1" customWidth="1"/>
    <col min="5" max="5" width="13.59765625" style="1" customWidth="1"/>
    <col min="6" max="16384" width="8.73046875" style="1"/>
  </cols>
  <sheetData>
    <row r="1" spans="1:9" x14ac:dyDescent="0.45">
      <c r="A1" s="98" t="s">
        <v>125</v>
      </c>
      <c r="B1" s="98"/>
      <c r="C1" s="6"/>
      <c r="D1" s="6"/>
      <c r="E1" s="6"/>
      <c r="F1" s="6"/>
      <c r="G1" s="6"/>
      <c r="H1" s="6"/>
      <c r="I1" s="6"/>
    </row>
    <row r="2" spans="1:9" x14ac:dyDescent="0.45">
      <c r="A2" s="6"/>
      <c r="B2" s="6"/>
      <c r="C2" s="6"/>
      <c r="D2" s="6"/>
      <c r="E2" s="6"/>
      <c r="F2" s="6"/>
      <c r="G2" s="6"/>
      <c r="H2" s="6"/>
      <c r="I2" s="6"/>
    </row>
    <row r="3" spans="1:9" x14ac:dyDescent="0.45">
      <c r="A3" s="45" t="s">
        <v>71</v>
      </c>
      <c r="B3" s="3">
        <f>Info!B28</f>
        <v>0</v>
      </c>
      <c r="C3" s="6"/>
      <c r="D3" s="6"/>
      <c r="E3" s="6"/>
      <c r="F3" s="6"/>
      <c r="G3" s="6"/>
      <c r="H3" s="6"/>
      <c r="I3" s="6"/>
    </row>
    <row r="4" spans="1:9" ht="15.75" x14ac:dyDescent="0.45">
      <c r="A4" s="45" t="s">
        <v>72</v>
      </c>
      <c r="B4" s="4">
        <f>1/(1+10^(-6.352)/(10^(-B3)))</f>
        <v>0.99999955536893037</v>
      </c>
      <c r="C4" s="7" t="s">
        <v>89</v>
      </c>
      <c r="D4" s="6"/>
      <c r="E4" s="6"/>
      <c r="F4" s="6"/>
      <c r="G4" s="6"/>
      <c r="H4" s="6"/>
      <c r="I4" s="6"/>
    </row>
    <row r="5" spans="1:9" ht="17.100000000000001" customHeight="1" x14ac:dyDescent="0.45">
      <c r="A5" s="101" t="s">
        <v>45</v>
      </c>
      <c r="B5" s="103" t="s">
        <v>46</v>
      </c>
      <c r="C5" s="47" t="s">
        <v>47</v>
      </c>
      <c r="D5" s="47" t="s">
        <v>48</v>
      </c>
      <c r="E5" s="103" t="s">
        <v>49</v>
      </c>
      <c r="F5" s="103" t="s">
        <v>90</v>
      </c>
      <c r="G5" s="103" t="s">
        <v>91</v>
      </c>
      <c r="H5" s="99" t="s">
        <v>193</v>
      </c>
      <c r="I5" s="100"/>
    </row>
    <row r="6" spans="1:9" ht="15.95" customHeight="1" x14ac:dyDescent="0.45">
      <c r="A6" s="102"/>
      <c r="B6" s="103"/>
      <c r="C6" s="47" t="s">
        <v>50</v>
      </c>
      <c r="D6" s="47" t="s">
        <v>51</v>
      </c>
      <c r="E6" s="103"/>
      <c r="F6" s="103"/>
      <c r="G6" s="103"/>
      <c r="H6" s="47" t="s">
        <v>5</v>
      </c>
      <c r="I6" s="2" t="s">
        <v>124</v>
      </c>
    </row>
    <row r="7" spans="1:9" x14ac:dyDescent="0.45">
      <c r="A7" s="45" t="s">
        <v>52</v>
      </c>
      <c r="B7" s="47" t="s">
        <v>0</v>
      </c>
      <c r="C7" s="47">
        <v>40</v>
      </c>
      <c r="D7" s="5">
        <v>1100</v>
      </c>
      <c r="E7" s="47" t="s">
        <v>53</v>
      </c>
      <c r="F7" s="47">
        <v>1</v>
      </c>
      <c r="G7" s="3">
        <f>F7*1000/C7</f>
        <v>25</v>
      </c>
      <c r="H7" s="3">
        <f>Info!H20*Info!J20</f>
        <v>0</v>
      </c>
      <c r="I7" s="5">
        <f t="shared" ref="I7:I11" si="0">H7*G7</f>
        <v>0</v>
      </c>
    </row>
    <row r="8" spans="1:9" x14ac:dyDescent="0.45">
      <c r="A8" s="45" t="s">
        <v>54</v>
      </c>
      <c r="B8" s="47" t="s">
        <v>55</v>
      </c>
      <c r="C8" s="47">
        <v>56.1</v>
      </c>
      <c r="D8" s="5">
        <v>1200</v>
      </c>
      <c r="E8" s="47" t="s">
        <v>53</v>
      </c>
      <c r="F8" s="47">
        <v>1</v>
      </c>
      <c r="G8" s="3">
        <f t="shared" ref="G8:G12" si="1">F8*1000/C8</f>
        <v>17.825311942959001</v>
      </c>
      <c r="H8" s="3">
        <f>Info!H21*Info!J21</f>
        <v>0</v>
      </c>
      <c r="I8" s="5">
        <f t="shared" si="0"/>
        <v>0</v>
      </c>
    </row>
    <row r="9" spans="1:9" ht="15.75" x14ac:dyDescent="0.45">
      <c r="A9" s="45" t="s">
        <v>56</v>
      </c>
      <c r="B9" s="47" t="s">
        <v>92</v>
      </c>
      <c r="C9" s="47">
        <v>106</v>
      </c>
      <c r="D9" s="47">
        <v>300</v>
      </c>
      <c r="E9" s="47" t="s">
        <v>57</v>
      </c>
      <c r="F9" s="4">
        <f>1+B$4</f>
        <v>1.9999995553689303</v>
      </c>
      <c r="G9" s="3">
        <f t="shared" si="1"/>
        <v>18.867920333669154</v>
      </c>
      <c r="H9" s="3">
        <f>Info!H22*Info!J22</f>
        <v>0</v>
      </c>
      <c r="I9" s="5">
        <f t="shared" si="0"/>
        <v>0</v>
      </c>
    </row>
    <row r="10" spans="1:9" ht="15.75" x14ac:dyDescent="0.45">
      <c r="A10" s="45" t="s">
        <v>58</v>
      </c>
      <c r="B10" s="47" t="s">
        <v>93</v>
      </c>
      <c r="C10" s="47">
        <v>84</v>
      </c>
      <c r="D10" s="47">
        <v>78</v>
      </c>
      <c r="E10" s="47" t="s">
        <v>59</v>
      </c>
      <c r="F10" s="4">
        <f>B$4</f>
        <v>0.99999955536893037</v>
      </c>
      <c r="G10" s="3">
        <f t="shared" si="1"/>
        <v>11.904756611534886</v>
      </c>
      <c r="H10" s="3">
        <f>Info!H23*Info!J23</f>
        <v>0</v>
      </c>
      <c r="I10" s="5">
        <f t="shared" si="0"/>
        <v>0</v>
      </c>
    </row>
    <row r="11" spans="1:9" ht="15.75" x14ac:dyDescent="0.45">
      <c r="A11" s="45" t="s">
        <v>60</v>
      </c>
      <c r="B11" s="47" t="s">
        <v>94</v>
      </c>
      <c r="C11" s="47">
        <v>74.099999999999994</v>
      </c>
      <c r="D11" s="47">
        <v>1.85</v>
      </c>
      <c r="E11" s="47" t="s">
        <v>61</v>
      </c>
      <c r="F11" s="47">
        <v>2</v>
      </c>
      <c r="G11" s="3">
        <f t="shared" si="1"/>
        <v>26.990553306342782</v>
      </c>
      <c r="H11" s="3">
        <f>Info!H24*Info!J24</f>
        <v>0</v>
      </c>
      <c r="I11" s="5">
        <f t="shared" si="0"/>
        <v>0</v>
      </c>
    </row>
    <row r="12" spans="1:9" ht="19.5" customHeight="1" x14ac:dyDescent="0.45">
      <c r="A12" s="45" t="s">
        <v>194</v>
      </c>
      <c r="B12" s="47" t="s">
        <v>95</v>
      </c>
      <c r="C12" s="47">
        <v>58.3</v>
      </c>
      <c r="D12" s="47">
        <v>0.01</v>
      </c>
      <c r="E12" s="47" t="s">
        <v>62</v>
      </c>
      <c r="F12" s="47">
        <v>2</v>
      </c>
      <c r="G12" s="3">
        <f t="shared" si="1"/>
        <v>34.305317324185253</v>
      </c>
      <c r="H12" s="3">
        <f>Info!H25*Info!J25</f>
        <v>0</v>
      </c>
      <c r="I12" s="5">
        <f>H12*G12</f>
        <v>0</v>
      </c>
    </row>
    <row r="13" spans="1:9" x14ac:dyDescent="0.45">
      <c r="A13" s="6"/>
      <c r="B13" s="6"/>
      <c r="C13" s="6"/>
      <c r="D13" s="6"/>
      <c r="E13" s="6"/>
      <c r="F13" s="6"/>
      <c r="G13" s="6"/>
      <c r="H13" s="6"/>
      <c r="I13" s="21"/>
    </row>
    <row r="14" spans="1:9" x14ac:dyDescent="0.45">
      <c r="A14" s="97" t="s">
        <v>87</v>
      </c>
      <c r="B14" s="97"/>
      <c r="C14" s="97"/>
      <c r="D14" s="97"/>
      <c r="E14" s="97"/>
      <c r="F14" s="6"/>
      <c r="G14" s="6"/>
      <c r="H14" s="6"/>
      <c r="I14" s="5">
        <f>SUM(I7:I12)</f>
        <v>0</v>
      </c>
    </row>
  </sheetData>
  <sheetProtection sheet="1" objects="1" scenarios="1"/>
  <mergeCells count="8">
    <mergeCell ref="A14:E14"/>
    <mergeCell ref="A1:B1"/>
    <mergeCell ref="H5:I5"/>
    <mergeCell ref="A5:A6"/>
    <mergeCell ref="B5:B6"/>
    <mergeCell ref="E5:E6"/>
    <mergeCell ref="F5:F6"/>
    <mergeCell ref="G5:G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M20"/>
  <sheetViews>
    <sheetView zoomScaleNormal="100" workbookViewId="0">
      <selection activeCell="A4" sqref="A4"/>
    </sheetView>
  </sheetViews>
  <sheetFormatPr defaultColWidth="8.73046875" defaultRowHeight="14.25" x14ac:dyDescent="0.45"/>
  <cols>
    <col min="1" max="1" width="13.1328125" style="1" customWidth="1"/>
    <col min="2" max="2" width="10" style="1" customWidth="1"/>
    <col min="3" max="3" width="6.86328125" style="1" customWidth="1"/>
    <col min="4" max="4" width="55.86328125" style="1" customWidth="1"/>
    <col min="5" max="5" width="11" style="1" customWidth="1"/>
    <col min="6" max="6" width="8.73046875" style="1" customWidth="1"/>
    <col min="7" max="7" width="7.3984375" style="1" customWidth="1"/>
    <col min="8" max="8" width="10" style="1" customWidth="1"/>
    <col min="9" max="9" width="7.3984375" style="1" customWidth="1"/>
    <col min="10" max="10" width="10.1328125" style="1" customWidth="1"/>
    <col min="11" max="11" width="8.73046875" style="1"/>
    <col min="12" max="12" width="9.59765625" style="1" customWidth="1"/>
    <col min="13" max="16384" width="8.73046875" style="1"/>
  </cols>
  <sheetData>
    <row r="1" spans="1:13" x14ac:dyDescent="0.45">
      <c r="A1" s="8" t="s">
        <v>71</v>
      </c>
      <c r="B1" s="3">
        <f>Info!B28</f>
        <v>0</v>
      </c>
      <c r="C1" s="6"/>
      <c r="D1" s="6"/>
      <c r="E1" s="6"/>
      <c r="F1" s="6"/>
      <c r="G1" s="6"/>
      <c r="H1" s="6"/>
      <c r="I1" s="6"/>
      <c r="J1" s="104" t="s">
        <v>197</v>
      </c>
      <c r="K1" s="6"/>
      <c r="L1" s="6"/>
    </row>
    <row r="2" spans="1:13" ht="17.100000000000001" customHeight="1" x14ac:dyDescent="0.45">
      <c r="A2" s="9" t="s">
        <v>72</v>
      </c>
      <c r="B2" s="10">
        <f>1/(1+10^(-6.352)/(10^(-B1)))</f>
        <v>0.99999955536893037</v>
      </c>
      <c r="C2" s="12"/>
      <c r="D2" s="11" t="s">
        <v>89</v>
      </c>
      <c r="E2" s="103" t="s">
        <v>96</v>
      </c>
      <c r="F2" s="103"/>
      <c r="G2" s="103"/>
      <c r="H2" s="99" t="s">
        <v>179</v>
      </c>
      <c r="I2" s="105"/>
      <c r="J2" s="104"/>
      <c r="K2" s="46" t="s">
        <v>180</v>
      </c>
      <c r="L2" s="46" t="s">
        <v>181</v>
      </c>
    </row>
    <row r="3" spans="1:13" ht="15.95" customHeight="1" x14ac:dyDescent="0.45">
      <c r="A3" s="8" t="s">
        <v>210</v>
      </c>
      <c r="B3" s="47" t="s">
        <v>46</v>
      </c>
      <c r="C3" s="47" t="s">
        <v>47</v>
      </c>
      <c r="D3" s="8" t="s">
        <v>63</v>
      </c>
      <c r="E3" s="47" t="s">
        <v>79</v>
      </c>
      <c r="F3" s="47" t="s">
        <v>79</v>
      </c>
      <c r="G3" s="47" t="s">
        <v>80</v>
      </c>
      <c r="H3" s="47" t="s">
        <v>79</v>
      </c>
      <c r="I3" s="47" t="s">
        <v>80</v>
      </c>
      <c r="J3" s="47" t="s">
        <v>5</v>
      </c>
      <c r="K3" s="47" t="s">
        <v>88</v>
      </c>
      <c r="L3" s="47" t="s">
        <v>175</v>
      </c>
    </row>
    <row r="4" spans="1:13" ht="15.95" customHeight="1" x14ac:dyDescent="0.45">
      <c r="A4" s="8" t="s">
        <v>1</v>
      </c>
      <c r="B4" s="8" t="s">
        <v>97</v>
      </c>
      <c r="C4" s="3">
        <v>165.83340000000001</v>
      </c>
      <c r="D4" s="8" t="s">
        <v>174</v>
      </c>
      <c r="E4" s="47">
        <v>4</v>
      </c>
      <c r="F4" s="47">
        <v>4</v>
      </c>
      <c r="G4" s="3">
        <f t="shared" ref="G4:G16" si="0">F4*1000/C4</f>
        <v>24.120593318354445</v>
      </c>
      <c r="H4" s="48">
        <v>-4</v>
      </c>
      <c r="I4" s="3">
        <f>H4*1000/C4</f>
        <v>-24.120593318354445</v>
      </c>
      <c r="J4" s="3">
        <f>Info!J5</f>
        <v>0</v>
      </c>
      <c r="K4" s="2">
        <f>J4*G4</f>
        <v>0</v>
      </c>
      <c r="L4" s="2">
        <f>J4*I4</f>
        <v>0</v>
      </c>
    </row>
    <row r="5" spans="1:13" ht="15.95" customHeight="1" x14ac:dyDescent="0.45">
      <c r="A5" s="8" t="s">
        <v>2</v>
      </c>
      <c r="B5" s="8" t="s">
        <v>98</v>
      </c>
      <c r="C5" s="3">
        <v>131.38834</v>
      </c>
      <c r="D5" s="8" t="s">
        <v>99</v>
      </c>
      <c r="E5" s="47">
        <v>3</v>
      </c>
      <c r="F5" s="47">
        <v>3</v>
      </c>
      <c r="G5" s="3">
        <f t="shared" si="0"/>
        <v>22.833076359743949</v>
      </c>
      <c r="H5" s="48">
        <v>-3</v>
      </c>
      <c r="I5" s="3">
        <f t="shared" ref="I5:I16" si="1">H5*1000/C5</f>
        <v>-22.833076359743949</v>
      </c>
      <c r="J5" s="3">
        <f>Info!J6</f>
        <v>0</v>
      </c>
      <c r="K5" s="2">
        <f t="shared" ref="K5:K16" si="2">J5*G5</f>
        <v>0</v>
      </c>
      <c r="L5" s="2">
        <f t="shared" ref="L5:L15" si="3">J5*I5</f>
        <v>0</v>
      </c>
    </row>
    <row r="6" spans="1:13" ht="15.95" customHeight="1" x14ac:dyDescent="0.45">
      <c r="A6" s="8" t="s">
        <v>3</v>
      </c>
      <c r="B6" s="8" t="s">
        <v>100</v>
      </c>
      <c r="C6" s="3">
        <v>96.943280000000001</v>
      </c>
      <c r="D6" s="8" t="s">
        <v>101</v>
      </c>
      <c r="E6" s="47">
        <v>2</v>
      </c>
      <c r="F6" s="47">
        <v>2</v>
      </c>
      <c r="G6" s="3">
        <f t="shared" si="0"/>
        <v>20.630620296734339</v>
      </c>
      <c r="H6" s="48">
        <v>-2</v>
      </c>
      <c r="I6" s="3">
        <f t="shared" si="1"/>
        <v>-20.630620296734339</v>
      </c>
      <c r="J6" s="3">
        <f>Info!J7</f>
        <v>0</v>
      </c>
      <c r="K6" s="2">
        <f t="shared" si="2"/>
        <v>0</v>
      </c>
      <c r="L6" s="2">
        <f t="shared" si="3"/>
        <v>0</v>
      </c>
    </row>
    <row r="7" spans="1:13" ht="15.95" customHeight="1" x14ac:dyDescent="0.45">
      <c r="A7" s="8" t="s">
        <v>4</v>
      </c>
      <c r="B7" s="8" t="s">
        <v>102</v>
      </c>
      <c r="C7" s="3">
        <v>62.498220000000003</v>
      </c>
      <c r="D7" s="8" t="s">
        <v>103</v>
      </c>
      <c r="E7" s="47">
        <v>1</v>
      </c>
      <c r="F7" s="47">
        <v>1</v>
      </c>
      <c r="G7" s="3">
        <f t="shared" si="0"/>
        <v>16.000455692978136</v>
      </c>
      <c r="H7" s="48">
        <v>-4</v>
      </c>
      <c r="I7" s="3">
        <f t="shared" si="1"/>
        <v>-64.001822771912543</v>
      </c>
      <c r="J7" s="3">
        <f>Info!J8</f>
        <v>0</v>
      </c>
      <c r="K7" s="2">
        <f t="shared" si="2"/>
        <v>0</v>
      </c>
      <c r="L7" s="2">
        <f t="shared" si="3"/>
        <v>0</v>
      </c>
    </row>
    <row r="8" spans="1:13" ht="15.95" customHeight="1" x14ac:dyDescent="0.45">
      <c r="A8" s="45" t="s">
        <v>64</v>
      </c>
      <c r="B8" s="8" t="s">
        <v>104</v>
      </c>
      <c r="C8" s="3">
        <v>60.051959999999994</v>
      </c>
      <c r="D8" s="8" t="s">
        <v>113</v>
      </c>
      <c r="E8" s="47" t="s">
        <v>73</v>
      </c>
      <c r="F8" s="4">
        <f>2*(1-B$2)</f>
        <v>8.8926213925866193E-7</v>
      </c>
      <c r="G8" s="3">
        <f t="shared" si="0"/>
        <v>1.4808211742941646E-5</v>
      </c>
      <c r="H8" s="48">
        <v>4</v>
      </c>
      <c r="I8" s="3">
        <f t="shared" si="1"/>
        <v>66.608983287140006</v>
      </c>
      <c r="J8" s="3">
        <f>Info!H16*Info!J16</f>
        <v>0</v>
      </c>
      <c r="K8" s="2">
        <f t="shared" si="2"/>
        <v>0</v>
      </c>
      <c r="L8" s="2">
        <f t="shared" si="3"/>
        <v>0</v>
      </c>
    </row>
    <row r="9" spans="1:13" ht="15.95" customHeight="1" x14ac:dyDescent="0.45">
      <c r="A9" s="45" t="s">
        <v>36</v>
      </c>
      <c r="B9" s="8" t="s">
        <v>105</v>
      </c>
      <c r="C9" s="3">
        <v>90.077939999999998</v>
      </c>
      <c r="D9" s="8" t="s">
        <v>114</v>
      </c>
      <c r="E9" s="47" t="s">
        <v>74</v>
      </c>
      <c r="F9" s="4">
        <f>3*(1-B$2)</f>
        <v>1.3338932088879929E-6</v>
      </c>
      <c r="G9" s="3">
        <f t="shared" si="0"/>
        <v>1.4808211742941644E-5</v>
      </c>
      <c r="H9" s="48">
        <v>6</v>
      </c>
      <c r="I9" s="3">
        <f t="shared" si="1"/>
        <v>66.608983287140006</v>
      </c>
      <c r="J9" s="3">
        <f>Info!H17*Info!J17</f>
        <v>0</v>
      </c>
      <c r="K9" s="2">
        <f t="shared" si="2"/>
        <v>0</v>
      </c>
      <c r="L9" s="2">
        <f t="shared" si="3"/>
        <v>0</v>
      </c>
    </row>
    <row r="10" spans="1:13" ht="15.95" customHeight="1" x14ac:dyDescent="0.45">
      <c r="A10" s="45" t="s">
        <v>65</v>
      </c>
      <c r="B10" s="8" t="s">
        <v>106</v>
      </c>
      <c r="C10" s="3">
        <v>180.15588</v>
      </c>
      <c r="D10" s="8" t="s">
        <v>115</v>
      </c>
      <c r="E10" s="47" t="s">
        <v>75</v>
      </c>
      <c r="F10" s="4">
        <f>6*(1-B$2)</f>
        <v>2.6677864177759858E-6</v>
      </c>
      <c r="G10" s="3">
        <f t="shared" si="0"/>
        <v>1.4808211742941644E-5</v>
      </c>
      <c r="H10" s="48">
        <v>12</v>
      </c>
      <c r="I10" s="3">
        <f t="shared" si="1"/>
        <v>66.608983287140006</v>
      </c>
      <c r="J10" s="3">
        <f>Info!H18*Info!J18</f>
        <v>0</v>
      </c>
      <c r="K10" s="2">
        <f t="shared" si="2"/>
        <v>0</v>
      </c>
      <c r="L10" s="2">
        <f t="shared" si="3"/>
        <v>0</v>
      </c>
    </row>
    <row r="11" spans="1:13" ht="15.95" customHeight="1" x14ac:dyDescent="0.45">
      <c r="A11" s="45" t="s">
        <v>66</v>
      </c>
      <c r="B11" s="8" t="s">
        <v>107</v>
      </c>
      <c r="C11" s="3">
        <v>869.38959999999997</v>
      </c>
      <c r="D11" s="8" t="s">
        <v>116</v>
      </c>
      <c r="E11" s="47" t="s">
        <v>76</v>
      </c>
      <c r="F11" s="4">
        <f>56*(1-B$2)</f>
        <v>2.4899339899242534E-5</v>
      </c>
      <c r="G11" s="3">
        <f>F11*1000/C11</f>
        <v>2.8640025023582677E-5</v>
      </c>
      <c r="H11" s="48">
        <v>156</v>
      </c>
      <c r="I11" s="3">
        <f t="shared" si="1"/>
        <v>179.43623894281689</v>
      </c>
      <c r="J11" s="3">
        <f>Info!H19*Info!J19</f>
        <v>0</v>
      </c>
      <c r="K11" s="2">
        <f>J11*G11</f>
        <v>0</v>
      </c>
      <c r="L11" s="2">
        <f t="shared" si="3"/>
        <v>0</v>
      </c>
    </row>
    <row r="12" spans="1:13" ht="15.95" customHeight="1" x14ac:dyDescent="0.45">
      <c r="A12" s="8" t="s">
        <v>67</v>
      </c>
      <c r="B12" s="8" t="s">
        <v>108</v>
      </c>
      <c r="C12" s="3">
        <v>31.998799999999999</v>
      </c>
      <c r="D12" s="8" t="s">
        <v>117</v>
      </c>
      <c r="E12" s="47">
        <v>0</v>
      </c>
      <c r="F12" s="47">
        <v>0</v>
      </c>
      <c r="G12" s="3">
        <f t="shared" si="0"/>
        <v>0</v>
      </c>
      <c r="H12" s="48">
        <v>-2</v>
      </c>
      <c r="I12" s="3">
        <f t="shared" si="1"/>
        <v>-62.502343837893925</v>
      </c>
      <c r="J12" s="3">
        <f>Info!J9</f>
        <v>0</v>
      </c>
      <c r="K12" s="2">
        <f t="shared" si="2"/>
        <v>0</v>
      </c>
      <c r="L12" s="2">
        <f t="shared" si="3"/>
        <v>0</v>
      </c>
    </row>
    <row r="13" spans="1:13" ht="15.95" customHeight="1" x14ac:dyDescent="0.45">
      <c r="A13" s="8" t="s">
        <v>68</v>
      </c>
      <c r="B13" s="8" t="s">
        <v>109</v>
      </c>
      <c r="C13" s="3">
        <v>62.004899999999999</v>
      </c>
      <c r="D13" s="8" t="s">
        <v>118</v>
      </c>
      <c r="E13" s="47">
        <v>-1</v>
      </c>
      <c r="F13" s="47">
        <v>-1</v>
      </c>
      <c r="G13" s="3">
        <f t="shared" si="0"/>
        <v>-16.127757644960319</v>
      </c>
      <c r="H13" s="3">
        <v>-2.5</v>
      </c>
      <c r="I13" s="3">
        <f t="shared" si="1"/>
        <v>-40.319394112400794</v>
      </c>
      <c r="J13" s="3">
        <f>Info!J10</f>
        <v>0</v>
      </c>
      <c r="K13" s="2">
        <f t="shared" si="2"/>
        <v>0</v>
      </c>
      <c r="L13" s="2">
        <f t="shared" si="3"/>
        <v>0</v>
      </c>
    </row>
    <row r="14" spans="1:13" ht="15.95" customHeight="1" x14ac:dyDescent="0.45">
      <c r="A14" s="8" t="s">
        <v>69</v>
      </c>
      <c r="B14" s="8" t="s">
        <v>110</v>
      </c>
      <c r="C14" s="3">
        <v>55.844999999999999</v>
      </c>
      <c r="D14" s="8" t="s">
        <v>119</v>
      </c>
      <c r="E14" s="47">
        <v>-2</v>
      </c>
      <c r="F14" s="47">
        <v>-2</v>
      </c>
      <c r="G14" s="3">
        <f t="shared" si="0"/>
        <v>-35.813412122840006</v>
      </c>
      <c r="H14" s="3">
        <v>-0.5</v>
      </c>
      <c r="I14" s="3">
        <f t="shared" si="1"/>
        <v>-8.9533530307100015</v>
      </c>
      <c r="J14" s="3">
        <f>Info!J11</f>
        <v>0</v>
      </c>
      <c r="K14" s="2">
        <f t="shared" si="2"/>
        <v>0</v>
      </c>
      <c r="L14" s="2">
        <f t="shared" si="3"/>
        <v>0</v>
      </c>
    </row>
    <row r="15" spans="1:13" ht="15.95" customHeight="1" x14ac:dyDescent="0.45">
      <c r="A15" s="8" t="s">
        <v>70</v>
      </c>
      <c r="B15" s="8" t="s">
        <v>111</v>
      </c>
      <c r="C15" s="3">
        <v>96.062600000000003</v>
      </c>
      <c r="D15" s="8" t="s">
        <v>173</v>
      </c>
      <c r="E15" s="47">
        <v>0</v>
      </c>
      <c r="F15" s="47">
        <v>0</v>
      </c>
      <c r="G15" s="3">
        <f t="shared" si="0"/>
        <v>0</v>
      </c>
      <c r="H15" s="48">
        <v>-4</v>
      </c>
      <c r="I15" s="3">
        <f t="shared" si="1"/>
        <v>-41.639514233426951</v>
      </c>
      <c r="J15" s="3">
        <f>Info!J12</f>
        <v>0</v>
      </c>
      <c r="K15" s="2">
        <f t="shared" si="2"/>
        <v>0</v>
      </c>
      <c r="L15" s="2">
        <f t="shared" si="3"/>
        <v>0</v>
      </c>
    </row>
    <row r="16" spans="1:13" ht="15.95" customHeight="1" x14ac:dyDescent="0.45">
      <c r="A16" s="45" t="s">
        <v>78</v>
      </c>
      <c r="B16" s="8" t="s">
        <v>112</v>
      </c>
      <c r="C16" s="3">
        <v>16.042459999999998</v>
      </c>
      <c r="D16" s="8" t="s">
        <v>120</v>
      </c>
      <c r="E16" s="47" t="s">
        <v>77</v>
      </c>
      <c r="F16" s="3">
        <f>B$2-1</f>
        <v>-4.4463106962933097E-7</v>
      </c>
      <c r="G16" s="3">
        <f t="shared" si="0"/>
        <v>-2.7715890806605158E-5</v>
      </c>
      <c r="H16" s="48">
        <v>-4</v>
      </c>
      <c r="I16" s="3">
        <f t="shared" si="1"/>
        <v>-249.33831843744665</v>
      </c>
      <c r="J16" s="3">
        <f>L16/I16</f>
        <v>0</v>
      </c>
      <c r="K16" s="2">
        <f t="shared" si="2"/>
        <v>0</v>
      </c>
      <c r="L16" s="2">
        <f>-SUM(L4:L15)</f>
        <v>0</v>
      </c>
      <c r="M16" s="56"/>
    </row>
    <row r="17" spans="1:12" ht="15.95" customHeight="1" x14ac:dyDescent="0.45">
      <c r="A17" s="6"/>
      <c r="B17" s="6"/>
      <c r="C17" s="6"/>
      <c r="D17" s="6"/>
      <c r="E17" s="6"/>
      <c r="F17" s="6"/>
      <c r="G17" s="6"/>
      <c r="H17" s="6"/>
      <c r="I17" s="6"/>
      <c r="J17" s="6"/>
      <c r="K17" s="13"/>
      <c r="L17" s="13"/>
    </row>
    <row r="18" spans="1:12" ht="15.95" customHeight="1" x14ac:dyDescent="0.45">
      <c r="A18" s="97" t="s">
        <v>177</v>
      </c>
      <c r="B18" s="97"/>
      <c r="C18" s="97"/>
      <c r="D18" s="97"/>
      <c r="E18" s="6"/>
      <c r="F18" s="6"/>
      <c r="G18" s="6"/>
      <c r="H18" s="6"/>
      <c r="I18" s="6"/>
      <c r="J18" s="6"/>
      <c r="K18" s="2">
        <f>SUM(K4:K7)</f>
        <v>0</v>
      </c>
      <c r="L18" s="2">
        <f>SUM(L4:L7)</f>
        <v>0</v>
      </c>
    </row>
    <row r="19" spans="1:12" ht="15.95" customHeight="1" x14ac:dyDescent="0.45">
      <c r="A19" s="97" t="s">
        <v>178</v>
      </c>
      <c r="B19" s="97"/>
      <c r="C19" s="97"/>
      <c r="D19" s="97"/>
      <c r="E19" s="6"/>
      <c r="F19" s="6"/>
      <c r="G19" s="6"/>
      <c r="H19" s="6"/>
      <c r="I19" s="6"/>
      <c r="J19" s="6"/>
      <c r="K19" s="2">
        <f>SUM(K8:K11)</f>
        <v>0</v>
      </c>
      <c r="L19" s="2">
        <f>SUM(L8:L11)</f>
        <v>0</v>
      </c>
    </row>
    <row r="20" spans="1:12" ht="15.95" customHeight="1" x14ac:dyDescent="0.45">
      <c r="A20" s="97" t="s">
        <v>176</v>
      </c>
      <c r="B20" s="97"/>
      <c r="C20" s="97"/>
      <c r="D20" s="97"/>
      <c r="E20" s="6"/>
      <c r="F20" s="6"/>
      <c r="G20" s="6"/>
      <c r="H20" s="6"/>
      <c r="I20" s="6"/>
      <c r="J20" s="6"/>
      <c r="K20" s="2">
        <f>SUM(K12:K16)</f>
        <v>0</v>
      </c>
      <c r="L20" s="2">
        <f>SUM(L12:L16)</f>
        <v>0</v>
      </c>
    </row>
  </sheetData>
  <sheetProtection algorithmName="SHA-512" hashValue="bitOWYObBcoZiZf7dCxD4m6tNIhyODqk6ow4Cv/PEU57q0DFcnn9oqt3gQtl76NH0hv5Hmj1cBaYHcGDJtDrqg==" saltValue="KVNhGJpLj2AGg+7e6v1CmQ==" spinCount="100000" sheet="1" objects="1" scenarios="1"/>
  <mergeCells count="6">
    <mergeCell ref="J1:J2"/>
    <mergeCell ref="H2:I2"/>
    <mergeCell ref="A18:D18"/>
    <mergeCell ref="A19:D19"/>
    <mergeCell ref="A20:D20"/>
    <mergeCell ref="E2:G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81"/>
  <sheetViews>
    <sheetView zoomScaleNormal="100" workbookViewId="0">
      <selection activeCell="N4" sqref="N4"/>
    </sheetView>
  </sheetViews>
  <sheetFormatPr defaultColWidth="8.73046875" defaultRowHeight="14.25" x14ac:dyDescent="0.45"/>
  <cols>
    <col min="1" max="1" width="18.3984375" style="14" customWidth="1"/>
    <col min="2" max="2" width="6.1328125" style="14" customWidth="1"/>
    <col min="3" max="3" width="14.86328125" style="14" customWidth="1"/>
    <col min="4" max="4" width="5.59765625" style="14" customWidth="1"/>
    <col min="5" max="5" width="4.73046875" style="14" customWidth="1"/>
    <col min="6" max="6" width="5.265625" style="14" customWidth="1"/>
    <col min="7" max="7" width="10.1328125" style="14" customWidth="1"/>
    <col min="8" max="8" width="5" style="14" customWidth="1"/>
    <col min="9" max="9" width="6.265625" style="14" customWidth="1"/>
    <col min="10" max="10" width="6.3984375" style="14" customWidth="1"/>
    <col min="11" max="12" width="8.1328125" style="14" customWidth="1"/>
    <col min="13" max="16384" width="8.73046875" style="14"/>
  </cols>
  <sheetData>
    <row r="1" spans="1:16" x14ac:dyDescent="0.45">
      <c r="A1" s="83" t="s">
        <v>126</v>
      </c>
      <c r="B1" s="83"/>
      <c r="C1" s="83"/>
      <c r="D1" s="83"/>
      <c r="E1" s="83"/>
      <c r="F1" s="83"/>
      <c r="G1" s="22"/>
      <c r="H1" s="22"/>
      <c r="I1" s="23"/>
      <c r="J1" s="22"/>
      <c r="K1" s="22"/>
      <c r="L1" s="22"/>
    </row>
    <row r="2" spans="1:16" x14ac:dyDescent="0.45">
      <c r="A2" s="23"/>
      <c r="B2" s="24"/>
      <c r="C2" s="25"/>
      <c r="D2" s="23"/>
      <c r="E2" s="23"/>
      <c r="F2" s="23"/>
      <c r="G2" s="22"/>
      <c r="H2" s="22"/>
      <c r="I2" s="23"/>
      <c r="J2" s="22"/>
      <c r="K2" s="106" t="s">
        <v>172</v>
      </c>
      <c r="L2" s="106"/>
    </row>
    <row r="3" spans="1:16" x14ac:dyDescent="0.45">
      <c r="A3" s="26" t="s">
        <v>127</v>
      </c>
      <c r="B3" s="106" t="s">
        <v>128</v>
      </c>
      <c r="C3" s="27" t="s">
        <v>129</v>
      </c>
      <c r="D3" s="27" t="s">
        <v>130</v>
      </c>
      <c r="E3" s="27" t="s">
        <v>131</v>
      </c>
      <c r="F3" s="27" t="s">
        <v>132</v>
      </c>
      <c r="G3" s="27" t="s">
        <v>133</v>
      </c>
      <c r="H3" s="27" t="s">
        <v>134</v>
      </c>
      <c r="I3" s="107" t="s">
        <v>135</v>
      </c>
      <c r="J3" s="108"/>
      <c r="K3" s="106"/>
      <c r="L3" s="106"/>
    </row>
    <row r="4" spans="1:16" ht="15.75" x14ac:dyDescent="0.45">
      <c r="A4" s="26" t="s">
        <v>136</v>
      </c>
      <c r="B4" s="106"/>
      <c r="C4" s="27" t="s">
        <v>137</v>
      </c>
      <c r="D4" s="28" t="s">
        <v>138</v>
      </c>
      <c r="E4" s="27" t="s">
        <v>139</v>
      </c>
      <c r="F4" s="27" t="s">
        <v>139</v>
      </c>
      <c r="G4" s="29" t="s">
        <v>140</v>
      </c>
      <c r="H4" s="27" t="s">
        <v>141</v>
      </c>
      <c r="I4" s="27" t="s">
        <v>142</v>
      </c>
      <c r="J4" s="27" t="s">
        <v>171</v>
      </c>
      <c r="K4" s="27" t="s">
        <v>142</v>
      </c>
      <c r="L4" s="27" t="s">
        <v>171</v>
      </c>
    </row>
    <row r="5" spans="1:16" x14ac:dyDescent="0.45">
      <c r="A5" s="30" t="s">
        <v>143</v>
      </c>
      <c r="B5" s="31"/>
      <c r="C5" s="32" t="s">
        <v>144</v>
      </c>
      <c r="D5" s="32"/>
      <c r="E5" s="32"/>
      <c r="F5" s="32"/>
      <c r="G5" s="32"/>
      <c r="H5" s="32"/>
      <c r="I5" s="32">
        <v>4.99</v>
      </c>
      <c r="J5" s="32"/>
      <c r="K5" s="33">
        <v>0.47</v>
      </c>
      <c r="L5" s="33"/>
    </row>
    <row r="6" spans="1:16" x14ac:dyDescent="0.45">
      <c r="A6" s="30" t="s">
        <v>143</v>
      </c>
      <c r="B6" s="31"/>
      <c r="C6" s="34" t="s">
        <v>145</v>
      </c>
      <c r="D6" s="32"/>
      <c r="E6" s="35"/>
      <c r="F6" s="32"/>
      <c r="G6" s="32"/>
      <c r="H6" s="32"/>
      <c r="I6" s="32">
        <v>4.99</v>
      </c>
      <c r="J6" s="32"/>
      <c r="K6" s="33">
        <v>3.4250000000000003</v>
      </c>
      <c r="L6" s="33"/>
    </row>
    <row r="7" spans="1:16" x14ac:dyDescent="0.45">
      <c r="A7" s="30" t="s">
        <v>146</v>
      </c>
      <c r="B7" s="36">
        <v>19.125</v>
      </c>
      <c r="C7" s="32" t="s">
        <v>147</v>
      </c>
      <c r="D7" s="33"/>
      <c r="E7" s="33"/>
      <c r="F7" s="33"/>
      <c r="G7" s="33"/>
      <c r="H7" s="33"/>
      <c r="I7" s="32">
        <v>3.99</v>
      </c>
      <c r="J7" s="32"/>
      <c r="K7" s="33">
        <v>5.6639999999999997</v>
      </c>
      <c r="L7" s="33"/>
    </row>
    <row r="8" spans="1:16" x14ac:dyDescent="0.45">
      <c r="A8" s="30" t="s">
        <v>148</v>
      </c>
      <c r="B8" s="36">
        <v>20.875</v>
      </c>
      <c r="C8" s="32" t="s">
        <v>149</v>
      </c>
      <c r="D8" s="33"/>
      <c r="E8" s="33"/>
      <c r="F8" s="33"/>
      <c r="G8" s="33"/>
      <c r="H8" s="33"/>
      <c r="I8" s="32">
        <v>4.4800000000000004</v>
      </c>
      <c r="J8" s="32"/>
      <c r="K8" s="33">
        <v>6.3629999999999995</v>
      </c>
      <c r="L8" s="33"/>
    </row>
    <row r="9" spans="1:16" x14ac:dyDescent="0.45">
      <c r="A9" s="30" t="s">
        <v>150</v>
      </c>
      <c r="B9" s="36">
        <v>17.125</v>
      </c>
      <c r="C9" s="32" t="s">
        <v>149</v>
      </c>
      <c r="D9" s="33"/>
      <c r="E9" s="33"/>
      <c r="F9" s="33"/>
      <c r="G9" s="33"/>
      <c r="H9" s="33"/>
      <c r="I9" s="32">
        <v>4.26</v>
      </c>
      <c r="J9" s="32"/>
      <c r="K9" s="33">
        <v>8.68</v>
      </c>
      <c r="L9" s="33"/>
    </row>
    <row r="10" spans="1:16" x14ac:dyDescent="0.45">
      <c r="A10" s="30" t="s">
        <v>148</v>
      </c>
      <c r="B10" s="36">
        <v>19.125</v>
      </c>
      <c r="C10" s="32" t="s">
        <v>147</v>
      </c>
      <c r="D10" s="33"/>
      <c r="E10" s="33"/>
      <c r="F10" s="33"/>
      <c r="G10" s="33"/>
      <c r="H10" s="33"/>
      <c r="I10" s="32">
        <v>3.69</v>
      </c>
      <c r="J10" s="32"/>
      <c r="K10" s="33">
        <v>8.6999999999999993</v>
      </c>
      <c r="L10" s="33"/>
    </row>
    <row r="11" spans="1:16" x14ac:dyDescent="0.45">
      <c r="A11" s="37" t="s">
        <v>151</v>
      </c>
      <c r="B11" s="36">
        <v>18.5</v>
      </c>
      <c r="C11" s="34" t="s">
        <v>152</v>
      </c>
      <c r="D11" s="38">
        <v>1.439729</v>
      </c>
      <c r="E11" s="39">
        <v>37.18</v>
      </c>
      <c r="F11" s="40">
        <v>140.5</v>
      </c>
      <c r="G11" s="40">
        <v>16</v>
      </c>
      <c r="H11" s="33">
        <v>0.5</v>
      </c>
      <c r="I11" s="32">
        <v>4.71</v>
      </c>
      <c r="J11" s="32">
        <v>4.12</v>
      </c>
      <c r="K11" s="33">
        <v>7.8</v>
      </c>
      <c r="L11" s="33">
        <v>7.6</v>
      </c>
    </row>
    <row r="12" spans="1:16" x14ac:dyDescent="0.45">
      <c r="A12" s="37" t="s">
        <v>151</v>
      </c>
      <c r="B12" s="36">
        <v>16.375</v>
      </c>
      <c r="C12" s="34" t="s">
        <v>152</v>
      </c>
      <c r="D12" s="38">
        <v>2.8550779999999998</v>
      </c>
      <c r="E12" s="39">
        <v>9.7330000000000005</v>
      </c>
      <c r="F12" s="39">
        <v>116.2</v>
      </c>
      <c r="G12" s="40">
        <v>13.5</v>
      </c>
      <c r="H12" s="33">
        <v>0.4</v>
      </c>
      <c r="I12" s="32">
        <v>4.7300000000000004</v>
      </c>
      <c r="J12" s="32">
        <v>4.13</v>
      </c>
      <c r="K12" s="33">
        <v>7.9</v>
      </c>
      <c r="L12" s="33">
        <v>8.6</v>
      </c>
    </row>
    <row r="13" spans="1:16" x14ac:dyDescent="0.45">
      <c r="A13" s="37" t="s">
        <v>151</v>
      </c>
      <c r="B13" s="36">
        <v>8.375</v>
      </c>
      <c r="C13" s="34" t="s">
        <v>152</v>
      </c>
      <c r="D13" s="38">
        <v>1.4592039999999999</v>
      </c>
      <c r="E13" s="39">
        <v>99.28</v>
      </c>
      <c r="F13" s="39">
        <v>158.5</v>
      </c>
      <c r="G13" s="40">
        <v>2.4</v>
      </c>
      <c r="H13" s="33">
        <v>0.5</v>
      </c>
      <c r="I13" s="41">
        <v>5.0449999999999999</v>
      </c>
      <c r="J13" s="32">
        <v>4.47</v>
      </c>
      <c r="K13" s="33">
        <v>8.9</v>
      </c>
      <c r="L13" s="33">
        <v>10.3</v>
      </c>
    </row>
    <row r="14" spans="1:16" x14ac:dyDescent="0.45">
      <c r="A14" s="37" t="s">
        <v>151</v>
      </c>
      <c r="B14" s="36">
        <v>13.625</v>
      </c>
      <c r="C14" s="34" t="s">
        <v>152</v>
      </c>
      <c r="D14" s="38"/>
      <c r="E14" s="39">
        <v>21.57</v>
      </c>
      <c r="F14" s="40">
        <v>129.9</v>
      </c>
      <c r="G14" s="40">
        <v>11.9</v>
      </c>
      <c r="H14" s="33">
        <v>0.5</v>
      </c>
      <c r="I14" s="32">
        <v>4.51</v>
      </c>
      <c r="J14" s="32">
        <v>3.97</v>
      </c>
      <c r="K14" s="33">
        <v>9.7999999999999989</v>
      </c>
      <c r="L14" s="33">
        <v>8.8000000000000007</v>
      </c>
    </row>
    <row r="15" spans="1:16" x14ac:dyDescent="0.45">
      <c r="A15" s="37" t="s">
        <v>151</v>
      </c>
      <c r="B15" s="36">
        <v>12.5</v>
      </c>
      <c r="C15" s="34" t="s">
        <v>153</v>
      </c>
      <c r="D15" s="38"/>
      <c r="E15" s="39">
        <v>4.3810000000000002</v>
      </c>
      <c r="F15" s="39">
        <v>80.900000000000006</v>
      </c>
      <c r="G15" s="40">
        <v>13.4</v>
      </c>
      <c r="H15" s="33">
        <v>0.6</v>
      </c>
      <c r="I15" s="34">
        <v>4.51</v>
      </c>
      <c r="J15" s="32">
        <v>4.01</v>
      </c>
      <c r="K15" s="33">
        <v>17.5</v>
      </c>
      <c r="L15" s="33">
        <v>12</v>
      </c>
    </row>
    <row r="16" spans="1:16" x14ac:dyDescent="0.45">
      <c r="A16" s="30" t="s">
        <v>154</v>
      </c>
      <c r="B16" s="31">
        <v>19</v>
      </c>
      <c r="C16" s="32"/>
      <c r="D16" s="33">
        <v>3.4329999999999998</v>
      </c>
      <c r="E16" s="40">
        <v>13.6</v>
      </c>
      <c r="F16" s="40"/>
      <c r="G16" s="40"/>
      <c r="H16" s="33"/>
      <c r="I16" s="32">
        <v>5.43</v>
      </c>
      <c r="J16" s="32">
        <v>4.5599999999999996</v>
      </c>
      <c r="K16" s="33">
        <v>2.6</v>
      </c>
      <c r="L16" s="33">
        <v>2.8</v>
      </c>
      <c r="O16" s="44"/>
      <c r="P16" s="43"/>
    </row>
    <row r="17" spans="1:16" x14ac:dyDescent="0.45">
      <c r="A17" s="30" t="s">
        <v>155</v>
      </c>
      <c r="B17" s="36">
        <v>46.5</v>
      </c>
      <c r="C17" s="32"/>
      <c r="D17" s="33">
        <v>1.5875814180000001</v>
      </c>
      <c r="E17" s="40">
        <v>168.328</v>
      </c>
      <c r="F17" s="40">
        <v>262.786</v>
      </c>
      <c r="G17" s="40">
        <v>3.8</v>
      </c>
      <c r="H17" s="33">
        <v>0.3</v>
      </c>
      <c r="I17" s="32">
        <v>4.88</v>
      </c>
      <c r="J17" s="32"/>
      <c r="K17" s="33">
        <v>2.98</v>
      </c>
      <c r="L17" s="33"/>
      <c r="O17" s="44"/>
      <c r="P17" s="43"/>
    </row>
    <row r="18" spans="1:16" x14ac:dyDescent="0.45">
      <c r="A18" s="30" t="s">
        <v>156</v>
      </c>
      <c r="B18" s="36">
        <v>44</v>
      </c>
      <c r="C18" s="32"/>
      <c r="D18" s="33">
        <v>0</v>
      </c>
      <c r="E18" s="40">
        <v>137.154</v>
      </c>
      <c r="F18" s="40">
        <v>203.43600000000001</v>
      </c>
      <c r="G18" s="40">
        <v>5.5</v>
      </c>
      <c r="H18" s="33">
        <v>0.3</v>
      </c>
      <c r="I18" s="32">
        <v>5.17</v>
      </c>
      <c r="J18" s="32"/>
      <c r="K18" s="33">
        <v>2.73</v>
      </c>
      <c r="L18" s="33"/>
      <c r="O18" s="44"/>
      <c r="P18" s="43"/>
    </row>
    <row r="19" spans="1:16" x14ac:dyDescent="0.45">
      <c r="A19" s="30" t="s">
        <v>155</v>
      </c>
      <c r="B19" s="36">
        <v>23.208333333333336</v>
      </c>
      <c r="C19" s="32"/>
      <c r="D19" s="33">
        <v>0</v>
      </c>
      <c r="E19" s="40">
        <v>171.96199999999999</v>
      </c>
      <c r="F19" s="40">
        <v>320.024</v>
      </c>
      <c r="G19" s="40">
        <v>2.6</v>
      </c>
      <c r="H19" s="33">
        <v>0.3</v>
      </c>
      <c r="I19" s="32">
        <v>4.87</v>
      </c>
      <c r="J19" s="32"/>
      <c r="K19" s="33">
        <v>2.7</v>
      </c>
      <c r="L19" s="33"/>
      <c r="O19" s="44"/>
      <c r="P19" s="43"/>
    </row>
    <row r="20" spans="1:16" x14ac:dyDescent="0.45">
      <c r="A20" s="30" t="s">
        <v>154</v>
      </c>
      <c r="B20" s="31">
        <v>35</v>
      </c>
      <c r="C20" s="32"/>
      <c r="D20" s="33">
        <v>2.84</v>
      </c>
      <c r="E20" s="40">
        <v>33</v>
      </c>
      <c r="F20" s="40"/>
      <c r="G20" s="40"/>
      <c r="H20" s="33"/>
      <c r="I20" s="32">
        <v>4.59</v>
      </c>
      <c r="J20" s="32">
        <v>4.2699999999999996</v>
      </c>
      <c r="K20" s="33">
        <v>3.157</v>
      </c>
      <c r="L20" s="33">
        <v>3.9</v>
      </c>
      <c r="O20" s="44"/>
      <c r="P20" s="43"/>
    </row>
    <row r="21" spans="1:16" x14ac:dyDescent="0.45">
      <c r="A21" s="30" t="s">
        <v>156</v>
      </c>
      <c r="B21" s="36">
        <v>32.75</v>
      </c>
      <c r="C21" s="32"/>
      <c r="D21" s="33">
        <v>2.8793183029999998</v>
      </c>
      <c r="E21" s="40">
        <v>157.78700000000001</v>
      </c>
      <c r="F21" s="40">
        <v>275.79700000000003</v>
      </c>
      <c r="G21" s="40">
        <v>6.2</v>
      </c>
      <c r="H21" s="33">
        <v>0.3</v>
      </c>
      <c r="I21" s="32">
        <v>3.98</v>
      </c>
      <c r="J21" s="32"/>
      <c r="K21" s="33">
        <v>3.06</v>
      </c>
      <c r="L21" s="33"/>
      <c r="O21" s="44"/>
      <c r="P21" s="43"/>
    </row>
    <row r="22" spans="1:16" x14ac:dyDescent="0.45">
      <c r="A22" s="30" t="s">
        <v>156</v>
      </c>
      <c r="B22" s="36">
        <v>42.25</v>
      </c>
      <c r="C22" s="32"/>
      <c r="D22" s="33">
        <v>1.6913870360000001</v>
      </c>
      <c r="E22" s="40">
        <v>160.70400000000001</v>
      </c>
      <c r="F22" s="40">
        <v>251.43799999999999</v>
      </c>
      <c r="G22" s="40">
        <v>11.2</v>
      </c>
      <c r="H22" s="33">
        <v>0.4</v>
      </c>
      <c r="I22" s="32">
        <v>4.51</v>
      </c>
      <c r="J22" s="32"/>
      <c r="K22" s="33">
        <v>4.16</v>
      </c>
      <c r="L22" s="33"/>
      <c r="O22" s="44"/>
      <c r="P22" s="43"/>
    </row>
    <row r="23" spans="1:16" x14ac:dyDescent="0.45">
      <c r="A23" s="30" t="s">
        <v>155</v>
      </c>
      <c r="B23" s="36">
        <v>34.5</v>
      </c>
      <c r="C23" s="32"/>
      <c r="D23" s="33">
        <v>2.1497883749999995</v>
      </c>
      <c r="E23" s="40">
        <v>174.315</v>
      </c>
      <c r="F23" s="40">
        <v>282.20999999999998</v>
      </c>
      <c r="G23" s="40">
        <v>6.2</v>
      </c>
      <c r="H23" s="33">
        <v>0.4</v>
      </c>
      <c r="I23" s="32">
        <v>4.09</v>
      </c>
      <c r="J23" s="32"/>
      <c r="K23" s="33">
        <v>6.48</v>
      </c>
      <c r="L23" s="33"/>
      <c r="O23" s="44"/>
      <c r="P23" s="43"/>
    </row>
    <row r="24" spans="1:16" x14ac:dyDescent="0.45">
      <c r="A24" s="30" t="s">
        <v>155</v>
      </c>
      <c r="B24" s="36">
        <v>33</v>
      </c>
      <c r="C24" s="32"/>
      <c r="D24" s="33">
        <v>2.2100478110000008</v>
      </c>
      <c r="E24" s="40">
        <v>146.53100000000001</v>
      </c>
      <c r="F24" s="40">
        <v>266.84500000000003</v>
      </c>
      <c r="G24" s="40">
        <v>3.2</v>
      </c>
      <c r="H24" s="33">
        <v>0.3</v>
      </c>
      <c r="I24" s="32">
        <v>4.59</v>
      </c>
      <c r="J24" s="32"/>
      <c r="K24" s="33">
        <v>7.26</v>
      </c>
      <c r="L24" s="33"/>
      <c r="O24" s="44"/>
      <c r="P24" s="43"/>
    </row>
    <row r="25" spans="1:16" x14ac:dyDescent="0.45">
      <c r="A25" s="30" t="s">
        <v>155</v>
      </c>
      <c r="B25" s="36">
        <v>24.5</v>
      </c>
      <c r="C25" s="32"/>
      <c r="D25" s="33">
        <v>1.0045354660000001</v>
      </c>
      <c r="E25" s="40">
        <v>196.035</v>
      </c>
      <c r="F25" s="40">
        <v>360.77800000000002</v>
      </c>
      <c r="G25" s="40">
        <v>3.3</v>
      </c>
      <c r="H25" s="33">
        <v>0.6</v>
      </c>
      <c r="I25" s="32">
        <v>4.7300000000000004</v>
      </c>
      <c r="J25" s="32"/>
      <c r="K25" s="33">
        <v>7.07</v>
      </c>
      <c r="L25" s="33"/>
      <c r="O25" s="44"/>
      <c r="P25" s="43"/>
    </row>
    <row r="26" spans="1:16" x14ac:dyDescent="0.45">
      <c r="A26" s="30" t="s">
        <v>157</v>
      </c>
      <c r="B26" s="36">
        <v>18.166499999999999</v>
      </c>
      <c r="C26" s="33"/>
      <c r="D26" s="33">
        <v>31.129091900000002</v>
      </c>
      <c r="E26" s="40">
        <v>0.273706</v>
      </c>
      <c r="F26" s="40">
        <v>4.4549000000000003</v>
      </c>
      <c r="G26" s="40">
        <v>5.9</v>
      </c>
      <c r="H26" s="33">
        <v>0.9</v>
      </c>
      <c r="I26" s="32">
        <v>4.97</v>
      </c>
      <c r="J26" s="32"/>
      <c r="K26" s="33">
        <v>7.83</v>
      </c>
      <c r="L26" s="33"/>
      <c r="O26" s="44"/>
      <c r="P26" s="43"/>
    </row>
    <row r="27" spans="1:16" x14ac:dyDescent="0.45">
      <c r="A27" s="30" t="s">
        <v>158</v>
      </c>
      <c r="B27" s="36">
        <v>22.5</v>
      </c>
      <c r="C27" s="33"/>
      <c r="D27" s="33">
        <v>0.8426392788349002</v>
      </c>
      <c r="E27" s="40">
        <v>98.025899999999993</v>
      </c>
      <c r="F27" s="40">
        <v>243.1</v>
      </c>
      <c r="G27" s="40">
        <v>3.2</v>
      </c>
      <c r="H27" s="33">
        <v>0.5</v>
      </c>
      <c r="I27" s="32">
        <v>5.12</v>
      </c>
      <c r="J27" s="32"/>
      <c r="K27" s="33">
        <v>7.73</v>
      </c>
      <c r="L27" s="33"/>
      <c r="O27" s="44"/>
      <c r="P27" s="43"/>
    </row>
    <row r="28" spans="1:16" x14ac:dyDescent="0.45">
      <c r="A28" s="30" t="s">
        <v>158</v>
      </c>
      <c r="B28" s="36">
        <v>18.5</v>
      </c>
      <c r="C28" s="33"/>
      <c r="D28" s="33">
        <v>2.7702542459999999</v>
      </c>
      <c r="E28" s="40">
        <v>68.6922</v>
      </c>
      <c r="F28" s="40">
        <v>308.00900000000001</v>
      </c>
      <c r="G28" s="40">
        <v>8.6</v>
      </c>
      <c r="H28" s="33">
        <v>0.9</v>
      </c>
      <c r="I28" s="32">
        <v>5.3</v>
      </c>
      <c r="J28" s="32"/>
      <c r="K28" s="33">
        <v>9.907</v>
      </c>
      <c r="L28" s="33"/>
      <c r="O28" s="44"/>
      <c r="P28" s="43"/>
    </row>
    <row r="29" spans="1:16" x14ac:dyDescent="0.45">
      <c r="A29" s="30" t="s">
        <v>158</v>
      </c>
      <c r="B29" s="36">
        <v>32.208333333333336</v>
      </c>
      <c r="C29" s="33"/>
      <c r="D29" s="33">
        <v>1.8155599849999999</v>
      </c>
      <c r="E29" s="40">
        <v>84.445300000000003</v>
      </c>
      <c r="F29" s="40">
        <v>209.99</v>
      </c>
      <c r="G29" s="40">
        <v>9.5</v>
      </c>
      <c r="H29" s="33">
        <v>0.4</v>
      </c>
      <c r="I29" s="32">
        <v>5.52</v>
      </c>
      <c r="J29" s="32"/>
      <c r="K29" s="33">
        <v>8.48</v>
      </c>
      <c r="L29" s="33"/>
      <c r="O29" s="44"/>
      <c r="P29" s="43"/>
    </row>
    <row r="30" spans="1:16" x14ac:dyDescent="0.45">
      <c r="A30" s="30" t="s">
        <v>158</v>
      </c>
      <c r="B30" s="36">
        <v>24</v>
      </c>
      <c r="C30" s="33"/>
      <c r="D30" s="33">
        <v>0.82584277609999979</v>
      </c>
      <c r="E30" s="40">
        <v>121.44799999999999</v>
      </c>
      <c r="F30" s="40">
        <v>255.99799999999999</v>
      </c>
      <c r="G30" s="40">
        <v>3.2</v>
      </c>
      <c r="H30" s="33">
        <v>0.5</v>
      </c>
      <c r="I30" s="32">
        <v>5.21</v>
      </c>
      <c r="J30" s="32"/>
      <c r="K30" s="33">
        <v>8.42</v>
      </c>
      <c r="L30" s="33"/>
      <c r="O30" s="44"/>
      <c r="P30" s="43"/>
    </row>
    <row r="31" spans="1:16" x14ac:dyDescent="0.45">
      <c r="A31" s="30" t="s">
        <v>159</v>
      </c>
      <c r="B31" s="36">
        <v>32.791666666666664</v>
      </c>
      <c r="C31" s="33"/>
      <c r="D31" s="33">
        <v>1.1865034027999999</v>
      </c>
      <c r="E31" s="40">
        <v>103.949</v>
      </c>
      <c r="F31" s="40">
        <v>195.13800000000001</v>
      </c>
      <c r="G31" s="40">
        <v>9.6</v>
      </c>
      <c r="H31" s="33">
        <v>0.6</v>
      </c>
      <c r="I31" s="32">
        <v>5.56</v>
      </c>
      <c r="J31" s="32"/>
      <c r="K31" s="33">
        <v>12.5</v>
      </c>
      <c r="L31" s="33"/>
      <c r="O31" s="44"/>
      <c r="P31" s="43"/>
    </row>
    <row r="32" spans="1:16" x14ac:dyDescent="0.45">
      <c r="A32" s="30" t="s">
        <v>159</v>
      </c>
      <c r="B32" s="36">
        <v>23.5</v>
      </c>
      <c r="C32" s="32"/>
      <c r="D32" s="33">
        <v>1.17746448</v>
      </c>
      <c r="E32" s="40">
        <v>90.026600000000002</v>
      </c>
      <c r="F32" s="40">
        <v>256.34800000000001</v>
      </c>
      <c r="G32" s="40">
        <v>3.6</v>
      </c>
      <c r="H32" s="33">
        <v>0.6</v>
      </c>
      <c r="I32" s="32">
        <v>5.21</v>
      </c>
      <c r="J32" s="32"/>
      <c r="K32" s="33">
        <v>37.200000000000003</v>
      </c>
      <c r="L32" s="33"/>
      <c r="O32" s="44"/>
      <c r="P32" s="43"/>
    </row>
    <row r="33" spans="1:16" x14ac:dyDescent="0.45">
      <c r="A33" s="30" t="s">
        <v>157</v>
      </c>
      <c r="B33" s="36">
        <v>34</v>
      </c>
      <c r="C33" s="32"/>
      <c r="D33" s="33">
        <v>1.13235580256218</v>
      </c>
      <c r="E33" s="40">
        <v>91.233999999999995</v>
      </c>
      <c r="F33" s="40">
        <v>165.91</v>
      </c>
      <c r="G33" s="40">
        <v>10.5</v>
      </c>
      <c r="H33" s="33">
        <v>0.6</v>
      </c>
      <c r="I33" s="32">
        <v>5.67</v>
      </c>
      <c r="J33" s="32"/>
      <c r="K33" s="33">
        <v>10.46</v>
      </c>
      <c r="L33" s="33"/>
      <c r="O33" s="44"/>
      <c r="P33" s="43"/>
    </row>
    <row r="34" spans="1:16" x14ac:dyDescent="0.45">
      <c r="A34" s="30" t="s">
        <v>157</v>
      </c>
      <c r="B34" s="36">
        <v>23</v>
      </c>
      <c r="C34" s="33"/>
      <c r="D34" s="33">
        <v>1.6366998229999998</v>
      </c>
      <c r="E34" s="40">
        <v>83.567599999999999</v>
      </c>
      <c r="F34" s="40">
        <v>243.30600000000001</v>
      </c>
      <c r="G34" s="40">
        <v>3.5</v>
      </c>
      <c r="H34" s="33">
        <v>0.5</v>
      </c>
      <c r="I34" s="32">
        <v>5.38</v>
      </c>
      <c r="J34" s="32"/>
      <c r="K34" s="33">
        <v>10.536</v>
      </c>
      <c r="L34" s="33"/>
      <c r="O34" s="44"/>
      <c r="P34" s="43"/>
    </row>
    <row r="35" spans="1:16" x14ac:dyDescent="0.45">
      <c r="A35" s="30" t="s">
        <v>160</v>
      </c>
      <c r="B35" s="36">
        <v>35</v>
      </c>
      <c r="C35" s="32"/>
      <c r="D35" s="33">
        <v>2.496</v>
      </c>
      <c r="E35" s="40">
        <v>22.6</v>
      </c>
      <c r="F35" s="40"/>
      <c r="G35" s="40"/>
      <c r="H35" s="33"/>
      <c r="I35" s="32">
        <v>5.96</v>
      </c>
      <c r="J35" s="32">
        <v>5.23</v>
      </c>
      <c r="K35" s="33">
        <v>12.5</v>
      </c>
      <c r="L35" s="33">
        <v>18.700000000000003</v>
      </c>
      <c r="O35" s="44"/>
      <c r="P35" s="43"/>
    </row>
    <row r="36" spans="1:16" x14ac:dyDescent="0.45">
      <c r="A36" s="30" t="s">
        <v>161</v>
      </c>
      <c r="B36" s="36">
        <v>38</v>
      </c>
      <c r="C36" s="32"/>
      <c r="D36" s="33">
        <v>3.589</v>
      </c>
      <c r="E36" s="40">
        <v>6.6</v>
      </c>
      <c r="F36" s="40"/>
      <c r="G36" s="40"/>
      <c r="H36" s="33"/>
      <c r="I36" s="32">
        <v>5.99</v>
      </c>
      <c r="J36" s="32">
        <v>5.87</v>
      </c>
      <c r="K36" s="33">
        <v>37.199999999999996</v>
      </c>
      <c r="L36" s="33">
        <v>47.300000000000004</v>
      </c>
      <c r="O36" s="44"/>
      <c r="P36" s="43"/>
    </row>
    <row r="37" spans="1:16" x14ac:dyDescent="0.45">
      <c r="A37" s="30" t="s">
        <v>162</v>
      </c>
      <c r="B37" s="36"/>
      <c r="C37" s="32" t="s">
        <v>163</v>
      </c>
      <c r="D37" s="33">
        <v>11.59</v>
      </c>
      <c r="E37" s="40">
        <v>1.6</v>
      </c>
      <c r="F37" s="40"/>
      <c r="G37" s="40">
        <v>4.4000000000000004</v>
      </c>
      <c r="H37" s="33"/>
      <c r="I37" s="32">
        <v>4.7</v>
      </c>
      <c r="J37" s="32">
        <v>3.96</v>
      </c>
      <c r="K37" s="33">
        <v>8.1</v>
      </c>
      <c r="L37" s="33">
        <v>10</v>
      </c>
    </row>
    <row r="38" spans="1:16" x14ac:dyDescent="0.45">
      <c r="A38" s="30" t="s">
        <v>164</v>
      </c>
      <c r="B38" s="36">
        <v>5</v>
      </c>
      <c r="C38" s="32" t="s">
        <v>163</v>
      </c>
      <c r="D38" s="33"/>
      <c r="E38" s="33"/>
      <c r="F38" s="33"/>
      <c r="G38" s="40"/>
      <c r="H38" s="33"/>
      <c r="I38" s="32">
        <v>5.4350000000000005</v>
      </c>
      <c r="J38" s="32"/>
      <c r="K38" s="33">
        <v>10.3756</v>
      </c>
      <c r="L38" s="33"/>
    </row>
    <row r="39" spans="1:16" x14ac:dyDescent="0.45">
      <c r="A39" s="30" t="s">
        <v>165</v>
      </c>
      <c r="B39" s="36"/>
      <c r="C39" s="32" t="s">
        <v>163</v>
      </c>
      <c r="D39" s="33">
        <v>10.233000000000001</v>
      </c>
      <c r="E39" s="40">
        <v>1.9</v>
      </c>
      <c r="F39" s="33"/>
      <c r="G39" s="33"/>
      <c r="H39" s="33"/>
      <c r="I39" s="32">
        <v>4.13</v>
      </c>
      <c r="J39" s="32">
        <v>3.79</v>
      </c>
      <c r="K39" s="33">
        <v>13.799999999999999</v>
      </c>
      <c r="L39" s="33">
        <v>16.7</v>
      </c>
    </row>
    <row r="40" spans="1:16" x14ac:dyDescent="0.45">
      <c r="A40" s="30" t="s">
        <v>166</v>
      </c>
      <c r="B40" s="36"/>
      <c r="C40" s="32" t="s">
        <v>163</v>
      </c>
      <c r="D40" s="33">
        <v>8.0719999999999992</v>
      </c>
      <c r="E40" s="40">
        <v>2.8</v>
      </c>
      <c r="F40" s="33"/>
      <c r="G40" s="33"/>
      <c r="H40" s="33"/>
      <c r="I40" s="32">
        <v>4.1900000000000004</v>
      </c>
      <c r="J40" s="32">
        <v>3.62</v>
      </c>
      <c r="K40" s="33">
        <v>14</v>
      </c>
      <c r="L40" s="33">
        <v>18.399999999999999</v>
      </c>
    </row>
    <row r="41" spans="1:16" x14ac:dyDescent="0.45">
      <c r="A41" s="30" t="s">
        <v>167</v>
      </c>
      <c r="B41" s="36">
        <v>11</v>
      </c>
      <c r="C41" s="32" t="s">
        <v>163</v>
      </c>
      <c r="D41" s="33"/>
      <c r="E41" s="40"/>
      <c r="F41" s="33"/>
      <c r="G41" s="33"/>
      <c r="H41" s="33"/>
      <c r="I41" s="32">
        <v>4.55</v>
      </c>
      <c r="J41" s="32"/>
      <c r="K41" s="33">
        <v>14.468399999999999</v>
      </c>
      <c r="L41" s="33"/>
    </row>
    <row r="42" spans="1:16" x14ac:dyDescent="0.45">
      <c r="A42" s="30" t="s">
        <v>164</v>
      </c>
      <c r="B42" s="36">
        <v>9</v>
      </c>
      <c r="C42" s="32" t="s">
        <v>163</v>
      </c>
      <c r="D42" s="33"/>
      <c r="E42" s="40"/>
      <c r="F42" s="33"/>
      <c r="G42" s="33"/>
      <c r="H42" s="33"/>
      <c r="I42" s="32">
        <v>5.36</v>
      </c>
      <c r="J42" s="32"/>
      <c r="K42" s="33">
        <v>14.57803</v>
      </c>
      <c r="L42" s="33"/>
    </row>
    <row r="43" spans="1:16" x14ac:dyDescent="0.45">
      <c r="A43" s="30" t="s">
        <v>164</v>
      </c>
      <c r="B43" s="36">
        <v>11</v>
      </c>
      <c r="C43" s="32" t="s">
        <v>163</v>
      </c>
      <c r="D43" s="33"/>
      <c r="E43" s="40"/>
      <c r="F43" s="33"/>
      <c r="G43" s="33"/>
      <c r="H43" s="33"/>
      <c r="I43" s="32">
        <v>5.51</v>
      </c>
      <c r="J43" s="32"/>
      <c r="K43" s="33">
        <v>16.28783</v>
      </c>
      <c r="L43" s="33"/>
    </row>
    <row r="44" spans="1:16" x14ac:dyDescent="0.45">
      <c r="A44" s="30" t="s">
        <v>164</v>
      </c>
      <c r="B44" s="36">
        <v>7</v>
      </c>
      <c r="C44" s="32" t="s">
        <v>163</v>
      </c>
      <c r="D44" s="33"/>
      <c r="E44" s="40"/>
      <c r="F44" s="33"/>
      <c r="G44" s="33"/>
      <c r="H44" s="33"/>
      <c r="I44" s="42">
        <v>5.3100000000000005</v>
      </c>
      <c r="J44" s="32"/>
      <c r="K44" s="33">
        <v>17.024760000000001</v>
      </c>
      <c r="L44" s="33"/>
    </row>
    <row r="45" spans="1:16" x14ac:dyDescent="0.45">
      <c r="A45" s="30" t="s">
        <v>168</v>
      </c>
      <c r="B45" s="36"/>
      <c r="C45" s="32" t="s">
        <v>163</v>
      </c>
      <c r="D45" s="33">
        <v>5.7610000000000001</v>
      </c>
      <c r="E45" s="40">
        <v>4.7</v>
      </c>
      <c r="F45" s="33"/>
      <c r="G45" s="33"/>
      <c r="H45" s="33"/>
      <c r="I45" s="32">
        <v>4.0599999999999996</v>
      </c>
      <c r="J45" s="32">
        <v>3.75</v>
      </c>
      <c r="K45" s="33">
        <v>18.5</v>
      </c>
      <c r="L45" s="33">
        <v>20.299999999999997</v>
      </c>
    </row>
    <row r="46" spans="1:16" x14ac:dyDescent="0.45">
      <c r="A46" s="30" t="s">
        <v>169</v>
      </c>
      <c r="B46" s="36"/>
      <c r="C46" s="32" t="s">
        <v>163</v>
      </c>
      <c r="D46" s="33">
        <v>11.859</v>
      </c>
      <c r="E46" s="40">
        <v>1.6</v>
      </c>
      <c r="F46" s="33"/>
      <c r="G46" s="33"/>
      <c r="H46" s="33"/>
      <c r="I46" s="32">
        <v>4.1500000000000004</v>
      </c>
      <c r="J46" s="32">
        <v>3.59</v>
      </c>
      <c r="K46" s="33">
        <v>37.299999999999997</v>
      </c>
      <c r="L46" s="33">
        <v>37.5</v>
      </c>
    </row>
    <row r="47" spans="1:16" x14ac:dyDescent="0.45">
      <c r="A47" s="30" t="s">
        <v>167</v>
      </c>
      <c r="B47" s="36">
        <v>9</v>
      </c>
      <c r="C47" s="32" t="s">
        <v>163</v>
      </c>
      <c r="D47" s="33"/>
      <c r="E47" s="33"/>
      <c r="F47" s="33"/>
      <c r="G47" s="33"/>
      <c r="H47" s="33"/>
      <c r="I47" s="32">
        <v>4.3</v>
      </c>
      <c r="J47" s="32"/>
      <c r="K47" s="33">
        <v>41.149619999999999</v>
      </c>
      <c r="L47" s="33"/>
    </row>
    <row r="48" spans="1:16" x14ac:dyDescent="0.45">
      <c r="A48" s="30" t="s">
        <v>167</v>
      </c>
      <c r="B48" s="36">
        <v>7</v>
      </c>
      <c r="C48" s="32" t="s">
        <v>163</v>
      </c>
      <c r="D48" s="33"/>
      <c r="E48" s="33"/>
      <c r="F48" s="33"/>
      <c r="G48" s="33"/>
      <c r="H48" s="33"/>
      <c r="I48" s="32">
        <v>4.2050000000000001</v>
      </c>
      <c r="J48" s="32"/>
      <c r="K48" s="33">
        <v>41.46367</v>
      </c>
      <c r="L48" s="33"/>
    </row>
    <row r="49" spans="1:12" x14ac:dyDescent="0.45">
      <c r="A49" s="30" t="s">
        <v>164</v>
      </c>
      <c r="B49" s="36">
        <v>19</v>
      </c>
      <c r="C49" s="32" t="s">
        <v>170</v>
      </c>
      <c r="D49" s="33"/>
      <c r="E49" s="33"/>
      <c r="F49" s="33"/>
      <c r="G49" s="33"/>
      <c r="H49" s="33"/>
      <c r="I49" s="32">
        <v>6.875</v>
      </c>
      <c r="J49" s="32"/>
      <c r="K49" s="33">
        <v>1.8771800000000001</v>
      </c>
      <c r="L49" s="33"/>
    </row>
    <row r="50" spans="1:12" x14ac:dyDescent="0.45">
      <c r="A50" s="30" t="s">
        <v>167</v>
      </c>
      <c r="B50" s="36">
        <v>17</v>
      </c>
      <c r="C50" s="32" t="s">
        <v>170</v>
      </c>
      <c r="D50" s="33"/>
      <c r="E50" s="33"/>
      <c r="F50" s="33"/>
      <c r="G50" s="33"/>
      <c r="H50" s="33"/>
      <c r="I50" s="32">
        <v>5.5149999999999997</v>
      </c>
      <c r="J50" s="32"/>
      <c r="K50" s="33">
        <v>2.4206099999999999</v>
      </c>
      <c r="L50" s="33"/>
    </row>
    <row r="51" spans="1:12" x14ac:dyDescent="0.45">
      <c r="A51" s="30" t="s">
        <v>167</v>
      </c>
      <c r="B51" s="36">
        <v>21</v>
      </c>
      <c r="C51" s="32" t="s">
        <v>170</v>
      </c>
      <c r="D51" s="33"/>
      <c r="E51" s="33"/>
      <c r="F51" s="33"/>
      <c r="G51" s="33"/>
      <c r="H51" s="33"/>
      <c r="I51" s="32">
        <v>6.875</v>
      </c>
      <c r="J51" s="32"/>
      <c r="K51" s="33">
        <v>2.42177</v>
      </c>
      <c r="L51" s="33"/>
    </row>
    <row r="52" spans="1:12" x14ac:dyDescent="0.45">
      <c r="A52" s="30" t="s">
        <v>164</v>
      </c>
      <c r="B52" s="36">
        <v>17</v>
      </c>
      <c r="C52" s="32" t="s">
        <v>170</v>
      </c>
      <c r="D52" s="33"/>
      <c r="E52" s="33"/>
      <c r="F52" s="33"/>
      <c r="G52" s="33"/>
      <c r="H52" s="33"/>
      <c r="I52" s="32">
        <v>6.3550000000000004</v>
      </c>
      <c r="J52" s="32"/>
      <c r="K52" s="33">
        <v>2.6152699999999998</v>
      </c>
      <c r="L52" s="33"/>
    </row>
    <row r="53" spans="1:12" x14ac:dyDescent="0.45">
      <c r="A53" s="30" t="s">
        <v>167</v>
      </c>
      <c r="B53" s="36">
        <v>19</v>
      </c>
      <c r="C53" s="32" t="s">
        <v>170</v>
      </c>
      <c r="D53" s="33"/>
      <c r="E53" s="33"/>
      <c r="F53" s="33"/>
      <c r="G53" s="33"/>
      <c r="H53" s="33"/>
      <c r="I53" s="32">
        <v>6.8449999999999998</v>
      </c>
      <c r="J53" s="32"/>
      <c r="K53" s="33">
        <v>2.7057899999999999</v>
      </c>
      <c r="L53" s="33"/>
    </row>
    <row r="54" spans="1:12" x14ac:dyDescent="0.45">
      <c r="B54" s="18"/>
      <c r="C54" s="20"/>
      <c r="D54" s="17"/>
      <c r="E54" s="15"/>
      <c r="F54" s="16"/>
      <c r="I54" s="15"/>
    </row>
    <row r="55" spans="1:12" x14ac:dyDescent="0.45">
      <c r="A55" s="16"/>
      <c r="B55" s="19"/>
      <c r="C55" s="16"/>
      <c r="D55" s="15"/>
      <c r="E55" s="15"/>
      <c r="F55" s="16"/>
      <c r="I55" s="15"/>
    </row>
    <row r="56" spans="1:12" x14ac:dyDescent="0.45">
      <c r="A56" s="16"/>
      <c r="B56" s="19"/>
      <c r="C56" s="16"/>
      <c r="D56" s="15"/>
      <c r="E56" s="15"/>
      <c r="F56" s="16"/>
      <c r="I56" s="15"/>
    </row>
    <row r="57" spans="1:12" x14ac:dyDescent="0.45">
      <c r="A57" s="16"/>
      <c r="B57" s="19"/>
      <c r="C57" s="16"/>
      <c r="D57" s="15"/>
      <c r="E57" s="15"/>
      <c r="F57" s="16"/>
      <c r="I57" s="15"/>
    </row>
    <row r="58" spans="1:12" x14ac:dyDescent="0.45">
      <c r="A58" s="16"/>
      <c r="B58" s="19"/>
      <c r="C58" s="16"/>
      <c r="D58" s="15"/>
      <c r="E58" s="15"/>
      <c r="F58" s="16"/>
      <c r="I58" s="15"/>
    </row>
    <row r="59" spans="1:12" x14ac:dyDescent="0.45">
      <c r="A59" s="16"/>
      <c r="B59" s="19"/>
      <c r="C59" s="16"/>
      <c r="D59" s="15"/>
      <c r="E59" s="15"/>
      <c r="F59" s="16"/>
      <c r="I59" s="15"/>
    </row>
    <row r="60" spans="1:12" x14ac:dyDescent="0.45">
      <c r="A60" s="16"/>
      <c r="B60" s="19"/>
      <c r="C60" s="16"/>
      <c r="D60" s="15"/>
      <c r="E60" s="15"/>
      <c r="F60" s="16"/>
      <c r="I60" s="15"/>
    </row>
    <row r="61" spans="1:12" x14ac:dyDescent="0.45">
      <c r="A61" s="16"/>
      <c r="B61" s="19"/>
      <c r="C61" s="16"/>
      <c r="D61" s="15"/>
      <c r="E61" s="15"/>
      <c r="F61" s="16"/>
      <c r="I61" s="15"/>
    </row>
    <row r="62" spans="1:12" x14ac:dyDescent="0.45">
      <c r="A62" s="16"/>
      <c r="B62" s="19"/>
      <c r="C62" s="16"/>
      <c r="D62" s="15"/>
      <c r="E62" s="15"/>
      <c r="F62" s="16"/>
      <c r="I62" s="15"/>
    </row>
    <row r="63" spans="1:12" x14ac:dyDescent="0.45">
      <c r="A63" s="16"/>
      <c r="B63" s="19"/>
      <c r="C63" s="16"/>
      <c r="D63" s="15"/>
      <c r="E63" s="15"/>
      <c r="F63" s="16"/>
      <c r="I63" s="15"/>
    </row>
    <row r="64" spans="1:12" x14ac:dyDescent="0.45">
      <c r="A64" s="16"/>
      <c r="B64" s="19"/>
      <c r="C64" s="16"/>
      <c r="D64" s="15"/>
      <c r="E64" s="15"/>
      <c r="F64" s="16"/>
      <c r="I64" s="15"/>
    </row>
    <row r="65" spans="1:9" x14ac:dyDescent="0.45">
      <c r="A65" s="16"/>
      <c r="B65" s="19"/>
      <c r="C65" s="16"/>
      <c r="D65" s="15"/>
      <c r="E65" s="15"/>
      <c r="F65" s="16"/>
      <c r="I65" s="15"/>
    </row>
    <row r="66" spans="1:9" x14ac:dyDescent="0.45">
      <c r="A66" s="16"/>
      <c r="B66" s="19"/>
      <c r="C66" s="16"/>
      <c r="D66" s="15"/>
      <c r="E66" s="15"/>
      <c r="F66" s="16"/>
      <c r="I66" s="15"/>
    </row>
    <row r="67" spans="1:9" x14ac:dyDescent="0.45">
      <c r="A67" s="16"/>
      <c r="B67" s="19"/>
      <c r="C67" s="16"/>
      <c r="D67" s="15"/>
      <c r="E67" s="15"/>
      <c r="F67" s="16"/>
      <c r="I67" s="15"/>
    </row>
    <row r="68" spans="1:9" x14ac:dyDescent="0.45">
      <c r="A68" s="16"/>
      <c r="B68" s="19"/>
      <c r="C68" s="16"/>
      <c r="D68" s="15"/>
      <c r="E68" s="15"/>
      <c r="F68" s="16"/>
      <c r="I68" s="15"/>
    </row>
    <row r="69" spans="1:9" x14ac:dyDescent="0.45">
      <c r="A69" s="16"/>
      <c r="B69" s="19"/>
      <c r="C69" s="16"/>
      <c r="D69" s="15"/>
      <c r="E69" s="15"/>
      <c r="F69" s="16"/>
      <c r="I69" s="15"/>
    </row>
    <row r="70" spans="1:9" x14ac:dyDescent="0.45">
      <c r="A70" s="16"/>
      <c r="B70" s="19"/>
      <c r="C70" s="16"/>
      <c r="D70" s="15"/>
      <c r="E70" s="15"/>
      <c r="F70" s="16"/>
      <c r="I70" s="15"/>
    </row>
    <row r="71" spans="1:9" x14ac:dyDescent="0.45">
      <c r="A71" s="16"/>
      <c r="B71" s="19"/>
      <c r="C71" s="16"/>
      <c r="D71" s="15"/>
      <c r="E71" s="15"/>
      <c r="F71" s="16"/>
      <c r="I71" s="15"/>
    </row>
    <row r="72" spans="1:9" x14ac:dyDescent="0.45">
      <c r="A72" s="16"/>
      <c r="B72" s="19"/>
      <c r="C72" s="16"/>
      <c r="D72" s="15"/>
      <c r="E72" s="15"/>
      <c r="F72" s="16"/>
      <c r="I72" s="15"/>
    </row>
    <row r="73" spans="1:9" x14ac:dyDescent="0.45">
      <c r="A73" s="16"/>
      <c r="B73" s="19"/>
      <c r="C73" s="16"/>
      <c r="D73" s="15"/>
      <c r="E73" s="15"/>
      <c r="F73" s="16"/>
      <c r="I73" s="15"/>
    </row>
    <row r="74" spans="1:9" x14ac:dyDescent="0.45">
      <c r="A74" s="16"/>
      <c r="B74" s="19"/>
      <c r="C74" s="16"/>
      <c r="D74" s="15"/>
      <c r="E74" s="15"/>
      <c r="F74" s="16"/>
      <c r="I74" s="15"/>
    </row>
    <row r="75" spans="1:9" x14ac:dyDescent="0.45">
      <c r="A75" s="16"/>
      <c r="B75" s="19"/>
      <c r="C75" s="16"/>
      <c r="D75" s="15"/>
      <c r="E75" s="15"/>
      <c r="F75" s="16"/>
      <c r="I75" s="15"/>
    </row>
    <row r="76" spans="1:9" x14ac:dyDescent="0.45">
      <c r="A76" s="16"/>
      <c r="B76" s="19"/>
      <c r="C76" s="16"/>
      <c r="D76" s="15"/>
      <c r="E76" s="15"/>
      <c r="F76" s="16"/>
      <c r="I76" s="15"/>
    </row>
    <row r="77" spans="1:9" x14ac:dyDescent="0.45">
      <c r="A77" s="16"/>
      <c r="B77" s="19"/>
      <c r="C77" s="16"/>
      <c r="D77" s="15"/>
      <c r="E77" s="15"/>
      <c r="F77" s="16"/>
      <c r="I77" s="15"/>
    </row>
    <row r="78" spans="1:9" x14ac:dyDescent="0.45">
      <c r="A78" s="15"/>
      <c r="B78" s="19"/>
      <c r="C78" s="16"/>
      <c r="D78" s="15"/>
      <c r="E78" s="15"/>
      <c r="F78" s="15"/>
      <c r="I78" s="15"/>
    </row>
    <row r="79" spans="1:9" x14ac:dyDescent="0.45">
      <c r="A79" s="15"/>
      <c r="B79" s="19"/>
      <c r="C79" s="16"/>
      <c r="D79" s="15"/>
      <c r="E79" s="15"/>
      <c r="F79" s="15"/>
      <c r="I79" s="15"/>
    </row>
    <row r="80" spans="1:9" x14ac:dyDescent="0.45">
      <c r="A80" s="15"/>
      <c r="B80" s="19"/>
      <c r="C80" s="16"/>
      <c r="D80" s="15"/>
      <c r="E80" s="15"/>
      <c r="F80" s="15"/>
      <c r="I80" s="15"/>
    </row>
    <row r="81" spans="1:9" x14ac:dyDescent="0.45">
      <c r="A81" s="15"/>
      <c r="B81" s="19"/>
      <c r="C81" s="16"/>
      <c r="D81" s="15"/>
      <c r="E81" s="15"/>
      <c r="F81" s="15"/>
      <c r="I81" s="15"/>
    </row>
  </sheetData>
  <sheetProtection algorithmName="SHA-512" hashValue="IOvHihbYgeoggboV303pEcZHGruIui95sMThYpb7HDAVOMKe/QbWd2415wbVRVmy7/aX0I4CAWgEd/oojz6J+g==" saltValue="t9lOYcod2UL6mlJtkwnYDg==" spinCount="100000" sheet="1" objects="1" scenarios="1"/>
  <mergeCells count="3">
    <mergeCell ref="K2:L3"/>
    <mergeCell ref="B3:B4"/>
    <mergeCell ref="I3:J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Info</vt:lpstr>
      <vt:lpstr>Alkali Properties</vt:lpstr>
      <vt:lpstr>Net H+ Production</vt:lpstr>
      <vt:lpstr>Aquifer Buffering Capacity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Borden</dc:creator>
  <cp:lastModifiedBy>Robert Borden</cp:lastModifiedBy>
  <dcterms:created xsi:type="dcterms:W3CDTF">2009-02-08T12:27:37Z</dcterms:created>
  <dcterms:modified xsi:type="dcterms:W3CDTF">2018-08-10T14:18:24Z</dcterms:modified>
</cp:coreProperties>
</file>